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Default Extension="vml" ContentType="application/vnd.openxmlformats-officedocument.vmlDrawing"/>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4865" windowHeight="11895" activeTab="0"/>
  </bookViews>
  <sheets>
    <sheet name="Exhibit 1-New" sheetId="1" r:id="rId1"/>
    <sheet name="Exhibit 2" sheetId="2" r:id="rId2"/>
    <sheet name="Exhibit 3-1" sheetId="3" r:id="rId3"/>
    <sheet name="Exhibit 3-2" sheetId="4" r:id="rId4"/>
    <sheet name="Exhibit 3-3" sheetId="5" r:id="rId5"/>
    <sheet name="Exhibit 3-4" sheetId="6" r:id="rId6"/>
    <sheet name="Exhibit 3-5" sheetId="7" r:id="rId7"/>
    <sheet name="Exhibit 4-1" sheetId="8" r:id="rId8"/>
    <sheet name="Exhibit 4-2" sheetId="9" r:id="rId9"/>
    <sheet name="Exhibit 4-3" sheetId="10" r:id="rId10"/>
    <sheet name="Exhibit 4-4" sheetId="11" r:id="rId11"/>
    <sheet name="Exhibit 4-5" sheetId="12" r:id="rId12"/>
    <sheet name="Exhibit 4-6" sheetId="13" r:id="rId13"/>
    <sheet name="Exhibit 4-7" sheetId="14" r:id="rId14"/>
    <sheet name="Exhibit 4-8" sheetId="15" r:id="rId15"/>
    <sheet name="Exhibit 4-9" sheetId="16" r:id="rId16"/>
    <sheet name="Exhibit 4-10" sheetId="17" r:id="rId17"/>
    <sheet name="Exhibit 4-11" sheetId="18" r:id="rId18"/>
    <sheet name="Exhibit 4-12" sheetId="19" r:id="rId19"/>
    <sheet name="Sheet 4-13" sheetId="20" r:id="rId20"/>
    <sheet name="Exhibit 5" sheetId="21" r:id="rId21"/>
  </sheets>
  <definedNames>
    <definedName name="_xlnm.Print_Area" localSheetId="1">'Exhibit 2'!$A$1:$D$29</definedName>
    <definedName name="_xlnm.Print_Area" localSheetId="7">'Exhibit 4-1'!$A$1:$AD$23</definedName>
    <definedName name="_xlnm.Print_Area" localSheetId="18">'Exhibit 4-12'!$A$1:$AE$35</definedName>
    <definedName name="_xlnm.Print_Area" localSheetId="12">'Exhibit 4-6'!$A$1:$AE$17</definedName>
    <definedName name="_xlnm.Print_Area" localSheetId="20">'Exhibit 5'!$A$1:$Y$9</definedName>
    <definedName name="_xlnm.Print_Titles" localSheetId="0">'Exhibit 1-New'!$1:$2</definedName>
  </definedNames>
  <calcPr fullCalcOnLoad="1"/>
</workbook>
</file>

<file path=xl/comments20.xml><?xml version="1.0" encoding="utf-8"?>
<comments xmlns="http://schemas.openxmlformats.org/spreadsheetml/2006/main">
  <authors>
    <author>Ron Cunzenheim</author>
  </authors>
  <commentList>
    <comment ref="I8" authorId="0">
      <text>
        <r>
          <rPr>
            <b/>
            <sz val="8"/>
            <rFont val="Tahoma"/>
            <family val="2"/>
          </rPr>
          <t>Ron Cunzenheim:</t>
        </r>
        <r>
          <rPr>
            <sz val="8"/>
            <rFont val="Tahoma"/>
            <family val="2"/>
          </rPr>
          <t xml:space="preserve">
Tn Empire = 3,497 plue Empire#3=868; total = 4,356</t>
        </r>
      </text>
    </comment>
    <comment ref="I9" authorId="0">
      <text>
        <r>
          <rPr>
            <b/>
            <sz val="8"/>
            <rFont val="Tahoma"/>
            <family val="2"/>
          </rPr>
          <t>Ron Cunzenheim:</t>
        </r>
        <r>
          <rPr>
            <sz val="8"/>
            <rFont val="Tahoma"/>
            <family val="2"/>
          </rPr>
          <t xml:space="preserve">
Add City pop of 336, Area D
</t>
        </r>
      </text>
    </comment>
    <comment ref="M21" authorId="0">
      <text>
        <r>
          <rPr>
            <b/>
            <sz val="8"/>
            <rFont val="Tahoma"/>
            <family val="2"/>
          </rPr>
          <t>Ron Cunzenheim:</t>
        </r>
        <r>
          <rPr>
            <sz val="8"/>
            <rFont val="Tahoma"/>
            <family val="2"/>
          </rPr>
          <t xml:space="preserve">
Add City Pop of 203, Area E
</t>
        </r>
      </text>
    </comment>
    <comment ref="M26" authorId="0">
      <text>
        <r>
          <rPr>
            <b/>
            <sz val="8"/>
            <rFont val="Tahoma"/>
            <family val="2"/>
          </rPr>
          <t>Ron Cunzenheim:</t>
        </r>
        <r>
          <rPr>
            <sz val="8"/>
            <rFont val="Tahoma"/>
            <family val="2"/>
          </rPr>
          <t xml:space="preserve">
Add City Flow 1,304 Area F</t>
        </r>
      </text>
    </comment>
    <comment ref="M29" authorId="0">
      <text>
        <r>
          <rPr>
            <b/>
            <sz val="8"/>
            <rFont val="Tahoma"/>
            <family val="2"/>
          </rPr>
          <t>Ron Cunzenheim:</t>
        </r>
        <r>
          <rPr>
            <sz val="8"/>
            <rFont val="Tahoma"/>
            <family val="2"/>
          </rPr>
          <t xml:space="preserve">
Add City Pop of 2,297 , Areas G,H,I,J,K,L,L1 &amp; M</t>
        </r>
      </text>
    </comment>
    <comment ref="M30" authorId="0">
      <text>
        <r>
          <rPr>
            <b/>
            <sz val="8"/>
            <rFont val="Tahoma"/>
            <family val="2"/>
          </rPr>
          <t>Ron Cunzenheim:</t>
        </r>
        <r>
          <rPr>
            <sz val="8"/>
            <rFont val="Tahoma"/>
            <family val="2"/>
          </rPr>
          <t xml:space="preserve">
Add City Area N, 687 pop
</t>
        </r>
      </text>
    </comment>
    <comment ref="M36" authorId="0">
      <text>
        <r>
          <rPr>
            <b/>
            <sz val="8"/>
            <rFont val="Tahoma"/>
            <family val="2"/>
          </rPr>
          <t>Ron Cunzenheim:</t>
        </r>
        <r>
          <rPr>
            <sz val="8"/>
            <rFont val="Tahoma"/>
            <family val="2"/>
          </rPr>
          <t xml:space="preserve">
Add City Pop od 651, Area O
</t>
        </r>
      </text>
    </comment>
    <comment ref="M37" authorId="0">
      <text>
        <r>
          <rPr>
            <b/>
            <sz val="8"/>
            <rFont val="Tahoma"/>
            <family val="2"/>
          </rPr>
          <t>Ron Cunzenheim:</t>
        </r>
        <r>
          <rPr>
            <sz val="8"/>
            <rFont val="Tahoma"/>
            <family val="2"/>
          </rPr>
          <t xml:space="preserve">
Add City Pop of 1,827, Areas P &amp; Q
</t>
        </r>
      </text>
    </comment>
    <comment ref="M43" authorId="0">
      <text>
        <r>
          <rPr>
            <b/>
            <sz val="8"/>
            <rFont val="Tahoma"/>
            <family val="2"/>
          </rPr>
          <t>Ron Cunzenheim:</t>
        </r>
        <r>
          <rPr>
            <sz val="8"/>
            <rFont val="Tahoma"/>
            <family val="2"/>
          </rPr>
          <t xml:space="preserve">
Add City Pop of 868+1710=2,578, Area R &amp; T</t>
        </r>
      </text>
    </comment>
    <comment ref="M49" authorId="0">
      <text>
        <r>
          <rPr>
            <b/>
            <sz val="8"/>
            <rFont val="Tahoma"/>
            <family val="2"/>
          </rPr>
          <t>Ron Cunzenheim:</t>
        </r>
        <r>
          <rPr>
            <sz val="8"/>
            <rFont val="Tahoma"/>
            <family val="2"/>
          </rPr>
          <t xml:space="preserve">
Add City Pops of 385+1737=2,122, Areas S &amp; U
</t>
        </r>
      </text>
    </comment>
    <comment ref="M67" authorId="0">
      <text>
        <r>
          <rPr>
            <b/>
            <sz val="8"/>
            <rFont val="Tahoma"/>
            <family val="2"/>
          </rPr>
          <t>Ron Cunzenheim:</t>
        </r>
        <r>
          <rPr>
            <sz val="8"/>
            <rFont val="Tahoma"/>
            <family val="2"/>
          </rPr>
          <t xml:space="preserve">
Add 208 Cit Pop
 Area V</t>
        </r>
      </text>
    </comment>
    <comment ref="M69" authorId="0">
      <text>
        <r>
          <rPr>
            <b/>
            <sz val="8"/>
            <rFont val="Tahoma"/>
            <family val="0"/>
          </rPr>
          <t>Ron Cunzenheim:</t>
        </r>
        <r>
          <rPr>
            <sz val="8"/>
            <rFont val="Tahoma"/>
            <family val="0"/>
          </rPr>
          <t xml:space="preserve">
Add City Area X = 400</t>
        </r>
      </text>
    </comment>
    <comment ref="M81" authorId="0">
      <text>
        <r>
          <rPr>
            <b/>
            <sz val="8"/>
            <rFont val="Tahoma"/>
            <family val="0"/>
          </rPr>
          <t>Ron Cunzenheim:</t>
        </r>
        <r>
          <rPr>
            <sz val="8"/>
            <rFont val="Tahoma"/>
            <family val="0"/>
          </rPr>
          <t xml:space="preserve">
This Value + 1,371 local pop goes to Exhibit 1 CP7 City 50 Year Population</t>
        </r>
      </text>
    </comment>
    <comment ref="O81" authorId="0">
      <text>
        <r>
          <rPr>
            <b/>
            <sz val="8"/>
            <rFont val="Tahoma"/>
            <family val="0"/>
          </rPr>
          <t>Ron Cunzenheim:</t>
        </r>
        <r>
          <rPr>
            <sz val="8"/>
            <rFont val="Tahoma"/>
            <family val="0"/>
          </rPr>
          <t xml:space="preserve">
This number goes to Exhibit 1 CP20 Empire SD3 50 year pop</t>
        </r>
      </text>
    </comment>
    <comment ref="U81" authorId="0">
      <text>
        <r>
          <rPr>
            <b/>
            <sz val="8"/>
            <rFont val="Tahoma"/>
            <family val="0"/>
          </rPr>
          <t>Ron Cunzenheim:</t>
        </r>
        <r>
          <rPr>
            <sz val="8"/>
            <rFont val="Tahoma"/>
            <family val="0"/>
          </rPr>
          <t xml:space="preserve">
This number goes to Exhibit 1 CP 8 FdL SD2 50 year pop</t>
        </r>
      </text>
    </comment>
    <comment ref="W81" authorId="0">
      <text>
        <r>
          <rPr>
            <b/>
            <sz val="8"/>
            <rFont val="Tahoma"/>
            <family val="0"/>
          </rPr>
          <t>Ron Cunzenheim:</t>
        </r>
        <r>
          <rPr>
            <sz val="8"/>
            <rFont val="Tahoma"/>
            <family val="0"/>
          </rPr>
          <t xml:space="preserve">
This number goes to Exhibit 1 CP 20 Tn Empire 50 Year Pop</t>
        </r>
      </text>
    </comment>
  </commentList>
</comments>
</file>

<file path=xl/sharedStrings.xml><?xml version="1.0" encoding="utf-8"?>
<sst xmlns="http://schemas.openxmlformats.org/spreadsheetml/2006/main" count="1963" uniqueCount="506">
  <si>
    <t>Exhibit 2</t>
  </si>
  <si>
    <t>2000 Wastewater Agreement</t>
  </si>
  <si>
    <t>Regional Service Area Plan</t>
  </si>
  <si>
    <t>WPCP Design Capacity Allocations (as of 1/1/2000)</t>
  </si>
  <si>
    <t>Design Capacity</t>
  </si>
  <si>
    <t>Average Daily Flow Capacity Allocation</t>
  </si>
  <si>
    <t>City (Balance)</t>
  </si>
  <si>
    <t>Total</t>
  </si>
  <si>
    <t>Calumet</t>
  </si>
  <si>
    <t>Calumet  Sanitary District #1</t>
  </si>
  <si>
    <t>Taycheedah Sanitary District #1</t>
  </si>
  <si>
    <t>Town of Taycheedah</t>
  </si>
  <si>
    <t xml:space="preserve">  Town of Fond du Lac Sanitary District #2</t>
  </si>
  <si>
    <t>Town of Fond du Lac Sanitary District #3</t>
  </si>
  <si>
    <t>Town of Fond du Lac Sanitary District #4</t>
  </si>
  <si>
    <t xml:space="preserve"> Town of Fond du Lac</t>
  </si>
  <si>
    <t>Empire Sanitary District #1</t>
  </si>
  <si>
    <t>Empire Sanitary District #2</t>
  </si>
  <si>
    <t>Empire Sanitary District #3</t>
  </si>
  <si>
    <t>Town of Empire</t>
  </si>
  <si>
    <t>Friendship Consolidated Sanitary District #1</t>
  </si>
  <si>
    <t>Friendship Sanitary District #2</t>
  </si>
  <si>
    <t xml:space="preserve"> Extraterritorial Area (Village of North Fond du Lac)</t>
  </si>
  <si>
    <t xml:space="preserve"> Village of North Fond du Lac</t>
  </si>
  <si>
    <t>mgd</t>
  </si>
  <si>
    <t>Exhibit 1</t>
  </si>
  <si>
    <t>Connection Points</t>
  </si>
  <si>
    <t>2000 Wastewater Agreement Regional Service Area Plan Connection Points</t>
  </si>
  <si>
    <t>Approx. Location</t>
  </si>
  <si>
    <t>Party</t>
  </si>
  <si>
    <t>Existing</t>
  </si>
  <si>
    <t>20 year(2020)</t>
  </si>
  <si>
    <t>CP No.</t>
  </si>
  <si>
    <t>Pop Equiv.</t>
  </si>
  <si>
    <t>Calumet SD1</t>
  </si>
  <si>
    <t>Taycheedah SD1</t>
  </si>
  <si>
    <t>Town Line</t>
  </si>
  <si>
    <t>Tn Taycheedah</t>
  </si>
  <si>
    <t>Fisherman's Rd.</t>
  </si>
  <si>
    <t>Minawa Beach Rd.</t>
  </si>
  <si>
    <t>Brookhaven Beach Rd.</t>
  </si>
  <si>
    <t>Fond du Lac SD2</t>
  </si>
  <si>
    <t xml:space="preserve">Calumet SD1 </t>
  </si>
  <si>
    <t xml:space="preserve">Tn Taycheedah </t>
  </si>
  <si>
    <t>City</t>
  </si>
  <si>
    <t>Luco Rd.</t>
  </si>
  <si>
    <t>Reg. Int.</t>
  </si>
  <si>
    <t>Winnebago Dr.</t>
  </si>
  <si>
    <t xml:space="preserve">Calumet SD1  </t>
  </si>
  <si>
    <t xml:space="preserve">City </t>
  </si>
  <si>
    <t>Prairie Rd.</t>
  </si>
  <si>
    <t>Empire SD2</t>
  </si>
  <si>
    <t>CTH K &amp; STH 23</t>
  </si>
  <si>
    <t>Fond du Lac SD4</t>
  </si>
  <si>
    <t>Meadow Creek Ln.</t>
  </si>
  <si>
    <t>Mariearl Ln.</t>
  </si>
  <si>
    <t>Division St. &amp; Prairie Rd.</t>
  </si>
  <si>
    <t>Rienzi Rd.</t>
  </si>
  <si>
    <t>CTH V &amp; Pioneer</t>
  </si>
  <si>
    <t>Pioneer w/o CTH V</t>
  </si>
  <si>
    <t>Tn Fond du Lac</t>
  </si>
  <si>
    <t>USH45</t>
  </si>
  <si>
    <t xml:space="preserve"> Fond du Lac SD4</t>
  </si>
  <si>
    <t>USH 45 &amp; Takodah Dr.</t>
  </si>
  <si>
    <t xml:space="preserve">Fond du Lac SD4 </t>
  </si>
  <si>
    <t>Empire SD1</t>
  </si>
  <si>
    <t>Empire SD3</t>
  </si>
  <si>
    <t>4th St. &amp; CTH K</t>
  </si>
  <si>
    <t>Tn Empire</t>
  </si>
  <si>
    <t>Fut. City</t>
  </si>
  <si>
    <t>CTH K &amp; 4th St.</t>
  </si>
  <si>
    <t xml:space="preserve">Tn Empire </t>
  </si>
  <si>
    <t xml:space="preserve">Empire SD1 </t>
  </si>
  <si>
    <t>STH 151 &amp; Brown Rd.</t>
  </si>
  <si>
    <t>Rogersville &amp; Rolling Meadows</t>
  </si>
  <si>
    <t>Fond du Lac SD3</t>
  </si>
  <si>
    <t>Forest Ave. &amp; Pioneer Rd.</t>
  </si>
  <si>
    <t>STH 23 west of Esterbrook Rd.</t>
  </si>
  <si>
    <t>STH 23 &amp; Rolling Meadows Dr.</t>
  </si>
  <si>
    <t xml:space="preserve">Fond du Lac SD3 </t>
  </si>
  <si>
    <t>W. Scott St. &amp; Esterbrook Rd.</t>
  </si>
  <si>
    <t>Extraterritorial Area</t>
  </si>
  <si>
    <t xml:space="preserve">V. N.  Fond du Lac </t>
  </si>
  <si>
    <t xml:space="preserve">Various </t>
  </si>
  <si>
    <t>V.N. Fond du Lac</t>
  </si>
  <si>
    <t xml:space="preserve"> Friendship SD2</t>
  </si>
  <si>
    <t>V. N. Fond du Lac</t>
  </si>
  <si>
    <t>CP2 (Westwood &amp; Van Dyne)</t>
  </si>
  <si>
    <t>Friendship SD2</t>
  </si>
  <si>
    <t>Fut. Village Limits</t>
  </si>
  <si>
    <t xml:space="preserve"> V N .Fond du Lac</t>
  </si>
  <si>
    <t>Van Dyne Rd.</t>
  </si>
  <si>
    <t xml:space="preserve">V. N. Fond du Lac  </t>
  </si>
  <si>
    <t xml:space="preserve">Tn Fond du Lac </t>
  </si>
  <si>
    <t xml:space="preserve"> V. N  Fond du Lac</t>
  </si>
  <si>
    <t>Friendship SD1/3</t>
  </si>
  <si>
    <t>USH 45 @ Village Limits</t>
  </si>
  <si>
    <t>USH 45 &amp; Scott St.</t>
  </si>
  <si>
    <t xml:space="preserve">Friendship SD1/3 </t>
  </si>
  <si>
    <t>Exhibit 3</t>
  </si>
  <si>
    <t>Regional Interceptor Capacity Allocations (as of 1/1/2000)</t>
  </si>
  <si>
    <t>Harbor View Drive System</t>
  </si>
  <si>
    <t>SD 2 Connection</t>
  </si>
  <si>
    <t xml:space="preserve">50 yr Pop Equiv </t>
  </si>
  <si>
    <t>50 yr Pk DC&amp;I</t>
  </si>
  <si>
    <t>Peak Industrial</t>
  </si>
  <si>
    <t>Total 50 yr</t>
  </si>
  <si>
    <t>Peak Flow</t>
  </si>
  <si>
    <t>% of Total Peak Flow</t>
  </si>
  <si>
    <t>cfs</t>
  </si>
  <si>
    <t>Taycheedah SD 1</t>
  </si>
  <si>
    <t>FdL SD 2 (LS)</t>
  </si>
  <si>
    <t>City (Luco)</t>
  </si>
  <si>
    <t>subtotal (Ex. LS)</t>
  </si>
  <si>
    <t>Empire SD 3</t>
  </si>
  <si>
    <t>City (Growth Area)</t>
  </si>
  <si>
    <t>subtotal (CTH K)</t>
  </si>
  <si>
    <t>subtotal (new LS)</t>
  </si>
  <si>
    <t>City (Willow/Winn)</t>
  </si>
  <si>
    <t>total</t>
  </si>
  <si>
    <t>ADF @ 100 gpcd (mgd)</t>
  </si>
  <si>
    <t>Peaking Factor</t>
  </si>
  <si>
    <t>Seg Peak DC&amp;I (mgd)</t>
  </si>
  <si>
    <t>Total Peak flow (mgd)</t>
  </si>
  <si>
    <t>Taft St. Connection</t>
  </si>
  <si>
    <t>50 yr Pop Equiv</t>
  </si>
  <si>
    <t>Emp SD 2 (MHP)</t>
  </si>
  <si>
    <t>FdL SD 2 (Prairie)</t>
  </si>
  <si>
    <t>FdL SD 4 (National)</t>
  </si>
  <si>
    <t>Main Harbor View Interceptor</t>
  </si>
  <si>
    <t>FdL SD 2</t>
  </si>
  <si>
    <t>Emp SD 3 (4th St.)</t>
  </si>
  <si>
    <t>ADF @ 100gpcd (mgd)</t>
  </si>
  <si>
    <t>% of Total PE</t>
  </si>
  <si>
    <t>West Scott System</t>
  </si>
  <si>
    <t>NFdL Connection</t>
  </si>
  <si>
    <t>50 yr Pk DC&amp;l</t>
  </si>
  <si>
    <t>Friendship SD 2</t>
  </si>
  <si>
    <t>Extraterr. (NFdL)</t>
  </si>
  <si>
    <t>TnFdL</t>
  </si>
  <si>
    <t>ADF @ 100gpcd(mgd)</t>
  </si>
  <si>
    <t>Seg Peak DC&amp;l (mgd)</t>
  </si>
  <si>
    <t>W. Scott Extension</t>
  </si>
  <si>
    <t>FdL SD 3</t>
  </si>
  <si>
    <t>W. Scott Main Interceptor</t>
  </si>
  <si>
    <t>. % of Total Peak Flow</t>
  </si>
  <si>
    <t>North FdL</t>
  </si>
  <si>
    <t>Friendship SD 1/3</t>
  </si>
  <si>
    <t>Tn FdL (NFdL)</t>
  </si>
  <si>
    <t>Tn FdL (W. Scott)</t>
  </si>
  <si>
    <t>ADF @ 100 gpcd(mgd)</t>
  </si>
  <si>
    <t>Doty System</t>
  </si>
  <si>
    <t>Total 50 yr Peak Flow</t>
  </si>
  <si>
    <t>Emp SD 1 (DeNeveu)</t>
  </si>
  <si>
    <t>FdL SD 4 (FdL Ave)</t>
  </si>
  <si>
    <t>Harbor View (Oregon)</t>
  </si>
  <si>
    <t>West Scott</t>
  </si>
  <si>
    <t>Doty</t>
  </si>
  <si>
    <t>SD2</t>
  </si>
  <si>
    <t>Harbor</t>
  </si>
  <si>
    <t>W Scott</t>
  </si>
  <si>
    <t>Conn</t>
  </si>
  <si>
    <t>Taft Conn</t>
  </si>
  <si>
    <t>View</t>
  </si>
  <si>
    <t>NFdL Conn</t>
  </si>
  <si>
    <t>Ext</t>
  </si>
  <si>
    <t>W. Scott</t>
  </si>
  <si>
    <t>Installed capacity (cfs)</t>
  </si>
  <si>
    <t>sum of new allocations (cfs)</t>
  </si>
  <si>
    <t>% of installed capacity</t>
  </si>
  <si>
    <t>FdL SD 4</t>
  </si>
  <si>
    <t>EmpSD2(MHP)</t>
  </si>
  <si>
    <t>Exhibit 4</t>
  </si>
  <si>
    <t>City Shared Sewer Capacity Allocations</t>
  </si>
  <si>
    <t>NATIONAL AVE EXTENSION - RIENZI RD. 10 4TH ST.</t>
  </si>
  <si>
    <t>Tributary</t>
  </si>
  <si>
    <t>DsnQ</t>
  </si>
  <si>
    <t>Fdl SD4</t>
  </si>
  <si>
    <t>FdL SD2</t>
  </si>
  <si>
    <t>PIPE SEGMENT</t>
  </si>
  <si>
    <t>Dia</t>
  </si>
  <si>
    <t>Length</t>
  </si>
  <si>
    <t>Slope</t>
  </si>
  <si>
    <t>Cap Full</t>
  </si>
  <si>
    <t>50 year</t>
  </si>
  <si>
    <t>Peaking</t>
  </si>
  <si>
    <t>50yrPE</t>
  </si>
  <si>
    <t>50yr PE</t>
  </si>
  <si>
    <t>Location    From</t>
  </si>
  <si>
    <t>(in)</t>
  </si>
  <si>
    <t>(It.)</t>
  </si>
  <si>
    <t>(cfs)</t>
  </si>
  <si>
    <t>Year</t>
  </si>
  <si>
    <t>Pop. Equiv.</t>
  </si>
  <si>
    <t>Factor</t>
  </si>
  <si>
    <t>Easement Rienzi</t>
  </si>
  <si>
    <t>Glenwood</t>
  </si>
  <si>
    <t>National    Glenwood</t>
  </si>
  <si>
    <t>National    8th ext</t>
  </si>
  <si>
    <t>to use</t>
  </si>
  <si>
    <t>Pk Q</t>
  </si>
  <si>
    <t>Const</t>
  </si>
  <si>
    <t>(%)</t>
  </si>
  <si>
    <t>50yr Pk</t>
  </si>
  <si>
    <t>Dsn Q</t>
  </si>
  <si>
    <t>to 4th St</t>
  </si>
  <si>
    <t xml:space="preserve">FdL SD2 </t>
  </si>
  <si>
    <t>Tn FdL</t>
  </si>
  <si>
    <t>FdL SD3</t>
  </si>
  <si>
    <t xml:space="preserve">50yr PE   </t>
  </si>
  <si>
    <t>50yrP</t>
  </si>
  <si>
    <t>)SD2    !</t>
  </si>
  <si>
    <t>Constr</t>
  </si>
  <si>
    <t>50yr PE   Pk Q</t>
  </si>
  <si>
    <t>Location</t>
  </si>
  <si>
    <t>From</t>
  </si>
  <si>
    <t>(H)</t>
  </si>
  <si>
    <t>Pop Equiv,</t>
  </si>
  <si>
    <t>National</t>
  </si>
  <si>
    <t>Fourth</t>
  </si>
  <si>
    <t>0 00</t>
  </si>
  <si>
    <t>Second</t>
  </si>
  <si>
    <t>Gillett</t>
  </si>
  <si>
    <t>Division</t>
  </si>
  <si>
    <t>Cheery</t>
  </si>
  <si>
    <t>Merrill</t>
  </si>
  <si>
    <t>Clover</t>
  </si>
  <si>
    <t>Johnson</t>
  </si>
  <si>
    <t>Marshall</t>
  </si>
  <si>
    <t>Stow</t>
  </si>
  <si>
    <t>E Scott</t>
  </si>
  <si>
    <t>Wilson</t>
  </si>
  <si>
    <t>Creek</t>
  </si>
  <si>
    <t>Scott</t>
  </si>
  <si>
    <t>Taft</t>
  </si>
  <si>
    <t>Weis</t>
  </si>
  <si>
    <t>Winn Dr</t>
  </si>
  <si>
    <t>Empire SD#2</t>
  </si>
  <si>
    <t xml:space="preserve">Pk Q </t>
  </si>
  <si>
    <t>Pop  Equiv</t>
  </si>
  <si>
    <t>Mary Lee</t>
  </si>
  <si>
    <t>Primrose</t>
  </si>
  <si>
    <t>(II)</t>
  </si>
  <si>
    <t>w/o Univ</t>
  </si>
  <si>
    <t>Cherry</t>
  </si>
  <si>
    <t>FOURTH ST. - MARY LEE DR. to NATIONAL AVE</t>
  </si>
  <si>
    <t>length</t>
  </si>
  <si>
    <t xml:space="preserve">Fdl SD4 </t>
  </si>
  <si>
    <t>(ID)</t>
  </si>
  <si>
    <t>Const.</t>
  </si>
  <si>
    <t>Heritage</t>
  </si>
  <si>
    <t>Morningside</t>
  </si>
  <si>
    <t>Division St</t>
  </si>
  <si>
    <t>w/o Prairie</t>
  </si>
  <si>
    <t>E  DIVISION ST  - PRAIRIE RD  to NATIONAL AVE</t>
  </si>
  <si>
    <t>4th St</t>
  </si>
  <si>
    <t>McD Cr</t>
  </si>
  <si>
    <t>MERRILL AVE   • PRAIRIE RD 10 NATIONAL AVE</t>
  </si>
  <si>
    <t>(in )</t>
  </si>
  <si>
    <t>Americana Dr</t>
  </si>
  <si>
    <t>Easement</t>
  </si>
  <si>
    <t>Univ Dr</t>
  </si>
  <si>
    <t>EAST JOHNSON ST ■ PRAIRIE RD  to NATIONAL AVE</t>
  </si>
  <si>
    <t>Univ Dr.</t>
  </si>
  <si>
    <t>0.8S</t>
  </si>
  <si>
    <t>Elm Acres</t>
  </si>
  <si>
    <t>e/o Prairie</t>
  </si>
  <si>
    <t xml:space="preserve">Easement </t>
  </si>
  <si>
    <t>Prairie</t>
  </si>
  <si>
    <t>Merrill Ave</t>
  </si>
  <si>
    <t>Barrington</t>
  </si>
  <si>
    <t>Westminster</t>
  </si>
  <si>
    <t>Meadowbrook</t>
  </si>
  <si>
    <t>EAST SCOTT ST  - ST MARY'S SPRINGS HS to NATIONAL AVE</t>
  </si>
  <si>
    <t>Pop Equiv</t>
  </si>
  <si>
    <t>3.S2</t>
  </si>
  <si>
    <t>196?</t>
  </si>
  <si>
    <t>Campus</t>
  </si>
  <si>
    <t>FdL SD#4</t>
  </si>
  <si>
    <t>SMS HS</t>
  </si>
  <si>
    <t>Curve</t>
  </si>
  <si>
    <t>CTH-"K"</t>
  </si>
  <si>
    <t>E Scott Ext</t>
  </si>
  <si>
    <t>1/2 Section</t>
  </si>
  <si>
    <t>1/4 Section</t>
  </si>
  <si>
    <t>Tn Line</t>
  </si>
  <si>
    <t>Taych Crk</t>
  </si>
  <si>
    <t>Lift Sta</t>
  </si>
  <si>
    <t>Campus Dr</t>
  </si>
  <si>
    <t>Empire SD6</t>
  </si>
  <si>
    <t>WEDGEWOOD LANE - CANTOM AVE. to PIONEER RD</t>
  </si>
  <si>
    <t>50yiPl</t>
  </si>
  <si>
    <t>(in.)</t>
  </si>
  <si>
    <t>(It)</t>
  </si>
  <si>
    <t>Pop. Equiv</t>
  </si>
  <si>
    <t>Cantom</t>
  </si>
  <si>
    <t>Pioneer</t>
  </si>
  <si>
    <t>Wedgewood</t>
  </si>
  <si>
    <t xml:space="preserve">   Pk Q</t>
  </si>
  <si>
    <t>FdL SD4</t>
  </si>
  <si>
    <r>
      <t>FOND DU LAC • ROOSEVELT ("East Side Interceptor</t>
    </r>
    <r>
      <rPr>
        <vertAlign val="superscript"/>
        <sz val="6"/>
        <rFont val="Arial"/>
        <family val="2"/>
      </rPr>
      <t>1</t>
    </r>
    <r>
      <rPr>
        <sz val="6"/>
        <rFont val="Arial"/>
        <family val="2"/>
      </rPr>
      <t>)</t>
    </r>
  </si>
  <si>
    <t>USH 45</t>
  </si>
  <si>
    <t>Takodah</t>
  </si>
  <si>
    <t>Mullen Or,</t>
  </si>
  <si>
    <t>CTH V</t>
  </si>
  <si>
    <t>Esmt</t>
  </si>
  <si>
    <t>Vincent</t>
  </si>
  <si>
    <t>Eighth St.</t>
  </si>
  <si>
    <t>Sixth St</t>
  </si>
  <si>
    <t>Fourth Si</t>
  </si>
  <si>
    <t>Fourth SI</t>
  </si>
  <si>
    <t>Prairie Ave</t>
  </si>
  <si>
    <t>Third St.</t>
  </si>
  <si>
    <t>First St</t>
  </si>
  <si>
    <t>Champion</t>
  </si>
  <si>
    <t>(ft)</t>
  </si>
  <si>
    <t>Peak Q</t>
  </si>
  <si>
    <t>FdL Ave</t>
  </si>
  <si>
    <t>Clover Ct</t>
  </si>
  <si>
    <t>Rienzi Rd</t>
  </si>
  <si>
    <t>11th St</t>
  </si>
  <si>
    <t>Boyd</t>
  </si>
  <si>
    <t>10th St</t>
  </si>
  <si>
    <t>9th St</t>
  </si>
  <si>
    <t>Second St</t>
  </si>
  <si>
    <t>Sheboygan</t>
  </si>
  <si>
    <t>Everett</t>
  </si>
  <si>
    <t>Pk Q;</t>
  </si>
  <si>
    <t>RM Dr</t>
  </si>
  <si>
    <t>USH 151 S</t>
  </si>
  <si>
    <t>USH41 Crossing</t>
  </si>
  <si>
    <t>Hwy xing</t>
  </si>
  <si>
    <t>Rogersville</t>
  </si>
  <si>
    <t>Sullivan</t>
  </si>
  <si>
    <t>S.24</t>
  </si>
  <si>
    <t>Seymour</t>
  </si>
  <si>
    <t>W. 11th</t>
  </si>
  <si>
    <t>Hickory</t>
  </si>
  <si>
    <t>W 11th</t>
  </si>
  <si>
    <t>Grove</t>
  </si>
  <si>
    <t>Superior</t>
  </si>
  <si>
    <t>Western</t>
  </si>
  <si>
    <t>SOUTHWEST INTERCEPTOR from ROLLING MEADOWS DR &amp; STH 151 to DOTY &amp; HARBOR VIEW via BROOKE</t>
  </si>
  <si>
    <t>E Frtg Rd</t>
  </si>
  <si>
    <t>Taylor</t>
  </si>
  <si>
    <t>Rees</t>
  </si>
  <si>
    <t>Colton</t>
  </si>
  <si>
    <t>McWms</t>
  </si>
  <si>
    <t>Military</t>
  </si>
  <si>
    <t>U4</t>
  </si>
  <si>
    <t>3S.S0</t>
  </si>
  <si>
    <t>PickNSave</t>
  </si>
  <si>
    <t>Brooke</t>
  </si>
  <si>
    <t>River x</t>
  </si>
  <si>
    <t>Sibley</t>
  </si>
  <si>
    <t>Forest</t>
  </si>
  <si>
    <t>Arndt</t>
  </si>
  <si>
    <t>lo Reg Int</t>
  </si>
  <si>
    <t>Pk Q .</t>
  </si>
  <si>
    <t>Ruggles</t>
  </si>
  <si>
    <t>Follett</t>
  </si>
  <si>
    <t>From FOREST AVE &amp; EAST FRONTAGE RD 10 PETERS - JOHNSON - SEYMOUR • ARNDT</t>
  </si>
  <si>
    <t>Pioneer Pk</t>
  </si>
  <si>
    <t>Michael</t>
  </si>
  <si>
    <t>St Joseph</t>
  </si>
  <si>
    <t>Thomas</t>
  </si>
  <si>
    <t>Berger</t>
  </si>
  <si>
    <t>Bell</t>
  </si>
  <si>
    <t>Butler</t>
  </si>
  <si>
    <t>Lincoln</t>
  </si>
  <si>
    <t>River</t>
  </si>
  <si>
    <t>Forest Ave</t>
  </si>
  <si>
    <t>Peters</t>
  </si>
  <si>
    <t>Pk Q ;</t>
  </si>
  <si>
    <t>W Ditch</t>
  </si>
  <si>
    <t>Fdl SO4</t>
  </si>
  <si>
    <t>ROLLING MEADOWS DR /W SCOTT ST - JOHNSON ST to REGIONAL INTERCEPTOR</t>
  </si>
  <si>
    <t xml:space="preserve">Johnson </t>
  </si>
  <si>
    <t>US41 W</t>
  </si>
  <si>
    <t>US41 E</t>
  </si>
  <si>
    <t>N to S</t>
  </si>
  <si>
    <t>Pearl</t>
  </si>
  <si>
    <t>Helen</t>
  </si>
  <si>
    <t>(%}</t>
  </si>
  <si>
    <t>3b</t>
  </si>
  <si>
    <t>Collage</t>
  </si>
  <si>
    <t>24 b</t>
  </si>
  <si>
    <t>Maple</t>
  </si>
  <si>
    <t>Ledgeview</t>
  </si>
  <si>
    <t>Rose</t>
  </si>
  <si>
    <t>199S</t>
  </si>
  <si>
    <t>Roosevelt</t>
  </si>
  <si>
    <t>Slow</t>
  </si>
  <si>
    <t>Bank</t>
  </si>
  <si>
    <t>Bischotl</t>
  </si>
  <si>
    <t>Amory</t>
  </si>
  <si>
    <t>192S</t>
  </si>
  <si>
    <t>Main</t>
  </si>
  <si>
    <t>PickNSave Main</t>
  </si>
  <si>
    <t>S26</t>
  </si>
  <si>
    <t>Macy Ext'd</t>
  </si>
  <si>
    <t>s/o Merrill</t>
  </si>
  <si>
    <t>Cottage</t>
  </si>
  <si>
    <t>Scot</t>
  </si>
  <si>
    <t>Mohawk</t>
  </si>
  <si>
    <t>Park</t>
  </si>
  <si>
    <t>Winnebago</t>
  </si>
  <si>
    <t>Garfield</t>
  </si>
  <si>
    <t>Marquette</t>
  </si>
  <si>
    <t>To</t>
  </si>
  <si>
    <t>50 year (2050)</t>
  </si>
  <si>
    <t>Change</t>
  </si>
  <si>
    <t>NA</t>
  </si>
  <si>
    <t>Rick: The reason for the error in columns M &amp; N is the negative value in colums K &amp; L. The reason that the values are negative is the district purchased a  capacity which was 35 people greater than what was originally thought needed at this point. This was known at the time costs were calculated so the proper dollars changed hands between the districts. Since it is tributary to the same connection point at the City is is of no importance to the City or the monies paid to the City.</t>
  </si>
  <si>
    <t>2a</t>
  </si>
  <si>
    <t>Johnsburg SD</t>
  </si>
  <si>
    <t>5, 10</t>
  </si>
  <si>
    <t>3a</t>
  </si>
  <si>
    <t>Taycheedah SD3</t>
  </si>
  <si>
    <t>Deadwood Point Rd.</t>
  </si>
  <si>
    <t>3,9</t>
  </si>
  <si>
    <t>4, 11</t>
  </si>
  <si>
    <t xml:space="preserve">Rick: The party with decreasing population in te Town of Taycheedah. The reason the population equivalent is decreasing is because they have sold much of their capacity to TSD#3 &amp; Johnsburg. Mathetically speaking I think once they have sold over 1/2 of their capacity th ennumbers will appear as if they are filpped. That is why the Town of Empire does not appear to be flipped. They have sold capacity but not over half. </t>
  </si>
  <si>
    <t>4a</t>
  </si>
  <si>
    <t>STH 149</t>
  </si>
  <si>
    <t>4, 9</t>
  </si>
  <si>
    <t>4b</t>
  </si>
  <si>
    <t>CTH UU</t>
  </si>
  <si>
    <t>Taycheeedah SD3</t>
  </si>
  <si>
    <t xml:space="preserve">Rick: I have added to City population to this line. Note in the earlier version I had it added to the line below this. That was obviously in error. The City's number as well as all of the parties agree with the Lift Station spread sheet. </t>
  </si>
  <si>
    <t>1,2</t>
  </si>
  <si>
    <t>Note that all of the yellow shaded lines agree with the original spreadsheet except for this line , line 27 due to the added City population &amp; line 41. Lines 41 Existing Population now shows the 390 added population purchased from The town of Empire. Note for some reason the Town of Empire's capacity does not show up here. Do we wish to add a line to keep track of the capacity? The reason that this line does not agree witht he original sheet is due to the transferr of 78 population from the Town of  Empire to Empire SD#1. It moved from connection point 20 to connection point 18</t>
  </si>
  <si>
    <t>Pioneer Rd.North of CTH OO</t>
  </si>
  <si>
    <t>Transfer 78 people from Town of Empire to Empire SD#1</t>
  </si>
  <si>
    <t>Transfer 390 people from Town of Empire to Empire SD#3</t>
  </si>
  <si>
    <t>I changed the population total for this item as we discussed</t>
  </si>
  <si>
    <t>Tn Taycheedah transferred 244 people to Connection Point at STH 149</t>
  </si>
  <si>
    <t>Tn Taycheedah transferred 555 people from Brookhaven Beach Rd to CTH UU</t>
  </si>
  <si>
    <t>Tn Taycheedah transferred 398 people to Johnsburg SD</t>
  </si>
  <si>
    <t>Town of FdL SD#3 consolidated population from Brown &amp; USH 151 to Rogersville &amp; RMD; Town SD#3 purchased capacity from Town of Fond du Lac</t>
  </si>
  <si>
    <t>Taycheedah SD#1 purchased an additional 820 population from City of Fond du Lac</t>
  </si>
  <si>
    <t>Taycheedah SD#3 purchased 520 population from Town of Taycheedah;  130 @ Deadwood Point, 390 @ CTH "WH" old 149</t>
  </si>
  <si>
    <t>Johnsburg purchased an 52 population from Town of Taycheedah, connects at Fisherman's Rd.</t>
  </si>
  <si>
    <t>Tn of Taychedah remaining capacity of 516 population consolidated at CTH "WH", old 149; no remaining capacity North of that point.</t>
  </si>
  <si>
    <t>Town of Fond du Lac Sanitary District #6</t>
  </si>
  <si>
    <t>Johnsburg Sanitary District</t>
  </si>
  <si>
    <t>Taycheedah Sanitary District #3</t>
  </si>
  <si>
    <t>Tn of Fond du Lac SD6</t>
  </si>
  <si>
    <t>Creation of Town of Fond du Lac SD#6; Direct connect to existing City mains; 13 units @ 2.6 people per unit = 34 people</t>
  </si>
  <si>
    <t>Taycheedah SD 3</t>
  </si>
  <si>
    <t>Johnsburg</t>
  </si>
  <si>
    <t>FdL SD6</t>
  </si>
  <si>
    <t>OSG SE</t>
  </si>
  <si>
    <t>OSG NE</t>
  </si>
  <si>
    <t>OSG SW</t>
  </si>
  <si>
    <t>OSG NW</t>
  </si>
  <si>
    <t>Total Used in Plant cost calculation.</t>
  </si>
  <si>
    <t xml:space="preserve">Pop </t>
  </si>
  <si>
    <t>Equiv.</t>
  </si>
  <si>
    <t xml:space="preserve">Avg Daily </t>
  </si>
  <si>
    <t>Flow, mgd</t>
  </si>
  <si>
    <t xml:space="preserve">Peak </t>
  </si>
  <si>
    <t>Flow, cfs</t>
  </si>
  <si>
    <t>FdL SD 6</t>
  </si>
  <si>
    <t>Fourth St Way</t>
  </si>
  <si>
    <t>Hwy 23</t>
  </si>
  <si>
    <t>Easement/Hunter Dr.</t>
  </si>
  <si>
    <t>Hunter Dr.</t>
  </si>
  <si>
    <t>Ducharme Pky</t>
  </si>
  <si>
    <t>Streamwood Dr</t>
  </si>
  <si>
    <t>Easement/Maplewood Dr.</t>
  </si>
  <si>
    <t>Maplewood Dr.</t>
  </si>
  <si>
    <t>Luco Road</t>
  </si>
  <si>
    <t>Luco Lift Station</t>
  </si>
  <si>
    <t>Force Main</t>
  </si>
  <si>
    <t>FOURTH STREET TO LUCO ROAD LIFT STATION</t>
  </si>
  <si>
    <t>Luco Road Lift Station</t>
  </si>
  <si>
    <t>50 yr PE</t>
  </si>
  <si>
    <t>Exhibit 5</t>
  </si>
  <si>
    <t>REGIONAL LIFT STATION</t>
  </si>
  <si>
    <t>Fourth St.</t>
  </si>
  <si>
    <t>Eastwind Ln</t>
  </si>
  <si>
    <t>St. Patrick Av</t>
  </si>
  <si>
    <t>Hunter Dr</t>
  </si>
  <si>
    <t>Country Ln</t>
  </si>
  <si>
    <t>St Mary's Way</t>
  </si>
  <si>
    <t>City of Fond du Lac added population to this connection point prior to construction of lift station. Also Adjusted for Church Meadows. Total 1,371 original number + 566 for Church Meadows plus 12,005 for extra territioial for a total of 13,942</t>
  </si>
  <si>
    <t>Fond du Lac SD3 S.</t>
  </si>
  <si>
    <t>Note: The following notes explain the changes made to the connection points since 1/01/2000</t>
  </si>
  <si>
    <t>Total OSG population as of April 1, 2011</t>
  </si>
  <si>
    <t>Share of     Total</t>
  </si>
  <si>
    <t>OSG sum</t>
  </si>
  <si>
    <t>Tn FdL (US 151, USH 45</t>
  </si>
  <si>
    <r>
      <t>SU</t>
    </r>
    <r>
      <rPr>
        <u val="single"/>
        <sz val="10"/>
        <rFont val="Arial"/>
        <family val="2"/>
      </rPr>
      <t>MMARY - Allocated Peak Flow (cfs)</t>
    </r>
  </si>
  <si>
    <t>NATIONAL AVENUE SYSTEM - FOURTH ST to HARBOR VIEW INTERCEPTOR</t>
  </si>
  <si>
    <t>Wettstein</t>
  </si>
  <si>
    <t>Regional Service/ice Area Plan</t>
  </si>
  <si>
    <t>Mariearl Ln</t>
  </si>
  <si>
    <t>`</t>
  </si>
  <si>
    <t>McWilliams!</t>
  </si>
  <si>
    <t>e/o F Rd</t>
  </si>
  <si>
    <t>R Meadows</t>
  </si>
  <si>
    <t xml:space="preserve">Force Main </t>
  </si>
  <si>
    <t>Future Extension</t>
  </si>
  <si>
    <t>Fourth Street South</t>
  </si>
  <si>
    <t>% of  Total PE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</si>
</sst>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00%"/>
    <numFmt numFmtId="167" formatCode="m/d/yyyy;@"/>
    <numFmt numFmtId="168" formatCode="0.0000"/>
    <numFmt numFmtId="169" formatCode="0_);\(0\)"/>
  </numFmts>
  <fonts count="37">
    <font>
      <sz val="10"/>
      <name val="Arial"/>
      <family val="0"/>
    </font>
    <font>
      <sz val="11"/>
      <color indexed="8"/>
      <name val="Arial"/>
      <family val="2"/>
    </font>
    <font>
      <sz val="11"/>
      <name val="Arial"/>
      <family val="2"/>
    </font>
    <font>
      <sz val="14"/>
      <name val="Arial"/>
      <family val="2"/>
    </font>
    <font>
      <sz val="16"/>
      <name val="Arial"/>
      <family val="2"/>
    </font>
    <font>
      <sz val="17"/>
      <name val="Arial"/>
      <family val="2"/>
    </font>
    <font>
      <b/>
      <sz val="10"/>
      <name val="Arial"/>
      <family val="2"/>
    </font>
    <font>
      <sz val="9"/>
      <name val="Arial"/>
      <family val="2"/>
    </font>
    <font>
      <sz val="13"/>
      <name val="Arial"/>
      <family val="2"/>
    </font>
    <font>
      <sz val="12"/>
      <name val="Arial"/>
      <family val="2"/>
    </font>
    <font>
      <sz val="11"/>
      <name val="Times New Roman"/>
      <family val="1"/>
    </font>
    <font>
      <u val="single"/>
      <sz val="10"/>
      <name val="Arial"/>
      <family val="2"/>
    </font>
    <font>
      <sz val="6"/>
      <name val="Arial"/>
      <family val="2"/>
    </font>
    <font>
      <sz val="7"/>
      <name val="Arial"/>
      <family val="2"/>
    </font>
    <font>
      <vertAlign val="superscript"/>
      <sz val="6"/>
      <name val="Arial"/>
      <family val="2"/>
    </font>
    <font>
      <sz val="6"/>
      <color indexed="10"/>
      <name val="Arial"/>
      <family val="2"/>
    </font>
    <font>
      <sz val="8"/>
      <name val="Tahoma"/>
      <family val="2"/>
    </font>
    <font>
      <b/>
      <sz val="8"/>
      <name val="Tahoma"/>
      <family val="2"/>
    </font>
    <font>
      <sz val="10"/>
      <name val="Times New Roman"/>
      <family val="1"/>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b/>
      <sz val="6"/>
      <name val="Arial"/>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9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top/>
      <bottom/>
    </border>
    <border>
      <left style="medium"/>
      <right style="medium"/>
      <top/>
      <bottom/>
    </border>
    <border>
      <left style="medium"/>
      <right style="medium"/>
      <top style="dotted"/>
      <bottom style="thin"/>
    </border>
    <border>
      <left style="medium"/>
      <right style="medium"/>
      <top style="thin"/>
      <bottom style="thin"/>
    </border>
    <border>
      <left style="medium"/>
      <right style="medium"/>
      <top style="thin"/>
      <bottom style="medium"/>
    </border>
    <border>
      <left/>
      <right/>
      <top/>
      <bottom style="thin"/>
    </border>
    <border>
      <left style="thin"/>
      <right style="thin"/>
      <top/>
      <bottom/>
    </border>
    <border>
      <left/>
      <right style="thin"/>
      <top/>
      <bottom/>
    </border>
    <border>
      <left style="thin"/>
      <right style="thin"/>
      <top/>
      <bottom style="thin"/>
    </border>
    <border>
      <left style="thin"/>
      <right/>
      <top/>
      <bottom/>
    </border>
    <border>
      <left style="thin"/>
      <right/>
      <top/>
      <bottom style="thin"/>
    </border>
    <border>
      <left/>
      <right style="thin"/>
      <top/>
      <bottom style="thin"/>
    </border>
    <border>
      <left/>
      <right/>
      <top/>
      <bottom style="double"/>
    </border>
    <border>
      <left style="thin"/>
      <right/>
      <top style="thin"/>
      <bottom/>
    </border>
    <border>
      <left/>
      <right/>
      <top style="thin"/>
      <bottom/>
    </border>
    <border>
      <left/>
      <right style="dashed"/>
      <top/>
      <bottom style="thin"/>
    </border>
    <border>
      <left/>
      <right style="dashed"/>
      <top style="thin"/>
      <bottom/>
    </border>
    <border>
      <left/>
      <right style="dashed"/>
      <top/>
      <bottom/>
    </border>
    <border>
      <left style="dashed"/>
      <right/>
      <top/>
      <bottom style="thin"/>
    </border>
    <border>
      <left/>
      <right style="thin"/>
      <top/>
      <bottom style="double"/>
    </border>
    <border>
      <left style="thin"/>
      <right/>
      <top/>
      <bottom style="double"/>
    </border>
    <border>
      <left style="thin"/>
      <right style="thin"/>
      <top/>
      <bottom style="double"/>
    </border>
    <border>
      <left/>
      <right style="dashed"/>
      <top/>
      <bottom style="double"/>
    </border>
    <border>
      <left style="thin"/>
      <right style="thin"/>
      <top style="thin"/>
      <bottom/>
    </border>
    <border>
      <left/>
      <right style="thin"/>
      <top style="thin"/>
      <bottom/>
    </border>
    <border>
      <left/>
      <right/>
      <top style="double"/>
      <bottom/>
    </border>
    <border>
      <left style="dashed"/>
      <right/>
      <top style="thin"/>
      <bottom/>
    </border>
    <border>
      <left style="dashed"/>
      <right/>
      <top/>
      <bottom/>
    </border>
    <border>
      <left style="dashed"/>
      <right/>
      <top/>
      <bottom style="double"/>
    </border>
    <border>
      <left style="thick"/>
      <right/>
      <top style="thick"/>
      <bottom/>
    </border>
    <border>
      <left/>
      <right/>
      <top style="thick"/>
      <bottom/>
    </border>
    <border>
      <left style="thick"/>
      <right/>
      <top/>
      <bottom style="thick"/>
    </border>
    <border>
      <left/>
      <right/>
      <top/>
      <bottom style="thick"/>
    </border>
    <border>
      <left/>
      <right/>
      <top/>
      <bottom style="dashed"/>
    </border>
    <border>
      <left style="thin"/>
      <right/>
      <top/>
      <bottom style="dashed"/>
    </border>
    <border>
      <left/>
      <right style="thin"/>
      <top/>
      <bottom style="dashed"/>
    </border>
    <border>
      <left style="thin"/>
      <right style="thin"/>
      <top/>
      <bottom style="dashed"/>
    </border>
    <border>
      <left style="medium"/>
      <right style="medium"/>
      <top style="medium"/>
      <bottom style="medium"/>
    </border>
    <border>
      <left style="medium"/>
      <right style="medium"/>
      <top/>
      <bottom style="dotted"/>
    </border>
    <border>
      <left/>
      <right style="medium"/>
      <top/>
      <bottom style="medium"/>
    </border>
    <border>
      <left style="thin"/>
      <right style="thin"/>
      <top style="thin"/>
      <bottom style="thin"/>
    </border>
    <border>
      <left/>
      <right style="dotted"/>
      <top/>
      <bottom/>
    </border>
    <border>
      <left/>
      <right style="dotted"/>
      <top/>
      <bottom style="double"/>
    </border>
    <border>
      <left style="dotted"/>
      <right/>
      <top/>
      <bottom style="double"/>
    </border>
    <border>
      <left style="dotted"/>
      <right/>
      <top/>
      <bottom/>
    </border>
    <border>
      <left style="dotted"/>
      <right/>
      <top/>
      <bottom style="thin"/>
    </border>
    <border>
      <left/>
      <right style="dotted"/>
      <top/>
      <bottom style="thin"/>
    </border>
    <border>
      <left/>
      <right style="dashed"/>
      <top style="double"/>
      <bottom/>
    </border>
    <border>
      <left/>
      <right/>
      <top style="thin"/>
      <bottom style="thin"/>
    </border>
    <border>
      <left/>
      <right style="thick"/>
      <top style="thick"/>
      <bottom/>
    </border>
    <border>
      <left/>
      <right style="thick"/>
      <top/>
      <bottom style="thick"/>
    </border>
    <border>
      <left/>
      <right style="thin"/>
      <top style="thick"/>
      <bottom/>
    </border>
    <border>
      <left style="thin"/>
      <right/>
      <top style="thick"/>
      <bottom style="thin"/>
    </border>
    <border>
      <left/>
      <right/>
      <top style="thick"/>
      <bottom style="thin"/>
    </border>
    <border>
      <left/>
      <right style="thin"/>
      <top style="thick"/>
      <bottom style="thin"/>
    </border>
    <border>
      <left/>
      <right style="thick"/>
      <top style="thick"/>
      <bottom style="thin"/>
    </border>
    <border>
      <left/>
      <right style="thin"/>
      <top style="thin"/>
      <bottom style="thin"/>
    </border>
    <border>
      <left/>
      <right style="thick"/>
      <top style="thin"/>
      <bottom style="thin"/>
    </border>
    <border>
      <left style="thick"/>
      <right/>
      <top/>
      <bottom style="thin"/>
    </border>
    <border>
      <left style="thick"/>
      <right/>
      <top style="thin"/>
      <bottom style="thin"/>
    </border>
    <border>
      <left style="thin"/>
      <right/>
      <top style="thin"/>
      <bottom style="thin"/>
    </border>
    <border>
      <left style="thick"/>
      <right/>
      <top style="thin"/>
      <bottom/>
    </border>
    <border>
      <left/>
      <right style="thick"/>
      <top style="thin"/>
      <bottom/>
    </border>
    <border>
      <left style="thick"/>
      <right/>
      <top/>
      <bottom/>
    </border>
    <border>
      <left/>
      <right style="thick"/>
      <top/>
      <bottom style="dashed"/>
    </border>
    <border>
      <left/>
      <right style="thick"/>
      <top/>
      <bottom/>
    </border>
    <border>
      <left/>
      <right style="thick"/>
      <top/>
      <bottom style="thin"/>
    </border>
    <border>
      <left style="thick"/>
      <right/>
      <top style="thin"/>
      <bottom style="thick"/>
    </border>
    <border>
      <left/>
      <right/>
      <top style="thin"/>
      <bottom style="thick"/>
    </border>
    <border>
      <left style="thin"/>
      <right style="thin"/>
      <top style="thin"/>
      <bottom style="thick"/>
    </border>
    <border>
      <left style="thin"/>
      <right/>
      <top style="thin"/>
      <bottom style="thick"/>
    </border>
    <border>
      <left/>
      <right style="thin"/>
      <top style="thin"/>
      <bottom style="thick"/>
    </border>
    <border>
      <left/>
      <right style="thick"/>
      <top style="thin"/>
      <bottom style="thick"/>
    </border>
    <border>
      <left style="dashed"/>
      <right style="dashed"/>
      <top/>
      <bottom/>
    </border>
    <border>
      <left style="medium"/>
      <right/>
      <top style="medium"/>
      <bottom/>
    </border>
    <border>
      <left/>
      <right style="medium"/>
      <top/>
      <bottom/>
    </border>
    <border>
      <left style="medium"/>
      <right style="medium"/>
      <top style="medium"/>
      <bottom/>
    </border>
    <border>
      <left style="medium"/>
      <right style="medium"/>
      <top style="medium"/>
      <bottom style="thin"/>
    </border>
    <border>
      <left/>
      <right style="thin"/>
      <top style="medium"/>
      <bottom/>
    </border>
    <border>
      <left style="thin"/>
      <right/>
      <top style="medium"/>
      <bottom/>
    </border>
  </borders>
  <cellStyleXfs count="61">
    <xf numFmtId="0" fontId="0"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24" fillId="3" borderId="0" applyNumberFormat="0" applyBorder="0" applyAlignment="0" applyProtection="0"/>
    <xf numFmtId="0" fontId="28" fillId="20" borderId="1" applyNumberFormat="0" applyAlignment="0" applyProtection="0"/>
    <xf numFmtId="0" fontId="3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23"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6" fillId="7" borderId="1" applyNumberFormat="0" applyAlignment="0" applyProtection="0"/>
    <xf numFmtId="0" fontId="29" fillId="0" borderId="6" applyNumberFormat="0" applyFill="0" applyAlignment="0" applyProtection="0"/>
    <xf numFmtId="0" fontId="25"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cellStyleXfs>
  <cellXfs count="678">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horizontal="center" vertical="top"/>
      <protection/>
    </xf>
    <xf numFmtId="0" fontId="0" fillId="0" borderId="10" xfId="0" applyNumberFormat="1" applyFont="1" applyFill="1" applyBorder="1" applyAlignment="1" applyProtection="1">
      <alignment vertical="top"/>
      <protection/>
    </xf>
    <xf numFmtId="0" fontId="2" fillId="0" borderId="11" xfId="0" applyNumberFormat="1" applyFont="1" applyFill="1" applyBorder="1" applyAlignment="1" applyProtection="1">
      <alignment horizontal="center" vertical="top"/>
      <protection/>
    </xf>
    <xf numFmtId="0" fontId="2" fillId="0" borderId="12" xfId="0" applyNumberFormat="1" applyFont="1" applyFill="1" applyBorder="1" applyAlignment="1" applyProtection="1">
      <alignment horizontal="center" vertical="top" wrapText="1"/>
      <protection/>
    </xf>
    <xf numFmtId="0" fontId="2" fillId="0" borderId="13" xfId="0" applyNumberFormat="1" applyFont="1" applyFill="1" applyBorder="1" applyAlignment="1" applyProtection="1">
      <alignment horizontal="center" vertical="top"/>
      <protection/>
    </xf>
    <xf numFmtId="0" fontId="2" fillId="0" borderId="14"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left" vertical="top"/>
      <protection/>
    </xf>
    <xf numFmtId="0" fontId="5" fillId="0" borderId="0" xfId="0" applyNumberFormat="1" applyFont="1" applyFill="1" applyBorder="1" applyAlignment="1" applyProtection="1">
      <alignment vertical="top"/>
      <protection/>
    </xf>
    <xf numFmtId="0" fontId="7" fillId="0" borderId="0" xfId="0" applyNumberFormat="1" applyFont="1" applyFill="1" applyBorder="1" applyAlignment="1" applyProtection="1">
      <alignment horizontal="left" vertical="top" indent="1"/>
      <protection/>
    </xf>
    <xf numFmtId="3" fontId="7" fillId="0" borderId="0" xfId="0" applyNumberFormat="1" applyFont="1" applyFill="1" applyBorder="1" applyAlignment="1" applyProtection="1">
      <alignment vertical="top"/>
      <protection/>
    </xf>
    <xf numFmtId="0" fontId="7" fillId="0" borderId="0" xfId="0" applyNumberFormat="1" applyFont="1" applyFill="1" applyBorder="1" applyAlignment="1" applyProtection="1">
      <alignment horizontal="left" vertical="top"/>
      <protection/>
    </xf>
    <xf numFmtId="0" fontId="9" fillId="0" borderId="0" xfId="0" applyNumberFormat="1" applyFont="1" applyFill="1" applyBorder="1" applyAlignment="1" applyProtection="1">
      <alignment horizontal="left" vertical="top" indent="1"/>
      <protection/>
    </xf>
    <xf numFmtId="0" fontId="10" fillId="0" borderId="0" xfId="0" applyNumberFormat="1" applyFont="1" applyFill="1" applyBorder="1" applyAlignment="1" applyProtection="1">
      <alignment vertical="top"/>
      <protection/>
    </xf>
    <xf numFmtId="0" fontId="7" fillId="0" borderId="0" xfId="0" applyNumberFormat="1" applyFont="1" applyFill="1" applyBorder="1" applyAlignment="1" applyProtection="1">
      <alignment horizontal="center" vertical="top"/>
      <protection/>
    </xf>
    <xf numFmtId="0" fontId="8" fillId="0" borderId="0" xfId="0" applyNumberFormat="1" applyFont="1" applyFill="1" applyBorder="1" applyAlignment="1" applyProtection="1">
      <alignment horizontal="center" vertical="top"/>
      <protection/>
    </xf>
    <xf numFmtId="0" fontId="7" fillId="0" borderId="15" xfId="0" applyNumberFormat="1" applyFont="1" applyFill="1" applyBorder="1" applyAlignment="1" applyProtection="1">
      <alignment horizontal="center" vertical="top"/>
      <protection/>
    </xf>
    <xf numFmtId="0" fontId="7" fillId="0" borderId="0" xfId="0" applyNumberFormat="1" applyFont="1" applyFill="1" applyBorder="1" applyAlignment="1" applyProtection="1">
      <alignment vertical="top"/>
      <protection/>
    </xf>
    <xf numFmtId="0" fontId="7" fillId="0" borderId="15" xfId="0" applyNumberFormat="1" applyFont="1" applyFill="1" applyBorder="1" applyAlignment="1" applyProtection="1">
      <alignment vertical="top"/>
      <protection/>
    </xf>
    <xf numFmtId="0" fontId="7" fillId="0" borderId="0" xfId="0" applyNumberFormat="1" applyFont="1" applyFill="1" applyBorder="1" applyAlignment="1" applyProtection="1">
      <alignment horizontal="right" vertical="top"/>
      <protection/>
    </xf>
    <xf numFmtId="0" fontId="7" fillId="0" borderId="15" xfId="0" applyNumberFormat="1" applyFont="1" applyFill="1" applyBorder="1" applyAlignment="1" applyProtection="1">
      <alignment horizontal="right" vertical="top"/>
      <protection/>
    </xf>
    <xf numFmtId="3" fontId="7" fillId="0" borderId="0" xfId="0" applyNumberFormat="1" applyFont="1" applyFill="1" applyBorder="1" applyAlignment="1" applyProtection="1">
      <alignment horizontal="right" vertical="top"/>
      <protection/>
    </xf>
    <xf numFmtId="0" fontId="12" fillId="0" borderId="0" xfId="0" applyNumberFormat="1" applyFont="1" applyFill="1" applyBorder="1" applyAlignment="1" applyProtection="1">
      <alignment vertical="top"/>
      <protection/>
    </xf>
    <xf numFmtId="0" fontId="12" fillId="0" borderId="16" xfId="0" applyNumberFormat="1" applyFont="1" applyFill="1" applyBorder="1" applyAlignment="1" applyProtection="1">
      <alignment horizontal="center" vertical="top"/>
      <protection/>
    </xf>
    <xf numFmtId="0" fontId="12" fillId="0" borderId="17" xfId="0" applyNumberFormat="1" applyFont="1" applyFill="1" applyBorder="1" applyAlignment="1" applyProtection="1">
      <alignment horizontal="left" vertical="top"/>
      <protection/>
    </xf>
    <xf numFmtId="0" fontId="12" fillId="0" borderId="15" xfId="0" applyNumberFormat="1" applyFont="1" applyFill="1" applyBorder="1" applyAlignment="1" applyProtection="1">
      <alignment horizontal="left" vertical="top"/>
      <protection/>
    </xf>
    <xf numFmtId="0" fontId="12" fillId="0" borderId="18" xfId="0" applyNumberFormat="1" applyFont="1" applyFill="1" applyBorder="1" applyAlignment="1" applyProtection="1">
      <alignment horizontal="center" vertical="top"/>
      <protection/>
    </xf>
    <xf numFmtId="10" fontId="12" fillId="0" borderId="0" xfId="0" applyNumberFormat="1" applyFont="1" applyFill="1" applyBorder="1" applyAlignment="1" applyProtection="1">
      <alignment horizontal="left" vertical="top"/>
      <protection/>
    </xf>
    <xf numFmtId="2" fontId="12" fillId="0" borderId="0" xfId="0" applyNumberFormat="1" applyFont="1" applyFill="1" applyBorder="1" applyAlignment="1" applyProtection="1">
      <alignment horizontal="center" vertical="top"/>
      <protection/>
    </xf>
    <xf numFmtId="0" fontId="12" fillId="0" borderId="0" xfId="0" applyNumberFormat="1" applyFont="1" applyFill="1" applyBorder="1" applyAlignment="1" applyProtection="1">
      <alignment horizontal="center" vertical="top"/>
      <protection/>
    </xf>
    <xf numFmtId="0" fontId="12" fillId="0" borderId="19" xfId="0" applyNumberFormat="1" applyFont="1" applyFill="1" applyBorder="1" applyAlignment="1" applyProtection="1">
      <alignment horizontal="center" vertical="top"/>
      <protection/>
    </xf>
    <xf numFmtId="0" fontId="12" fillId="0" borderId="15" xfId="0" applyNumberFormat="1" applyFont="1" applyFill="1" applyBorder="1" applyAlignment="1" applyProtection="1">
      <alignment horizontal="center" vertical="top"/>
      <protection/>
    </xf>
    <xf numFmtId="0" fontId="12" fillId="0" borderId="20" xfId="0" applyNumberFormat="1" applyFont="1" applyFill="1" applyBorder="1" applyAlignment="1" applyProtection="1">
      <alignment horizontal="center" vertical="top"/>
      <protection/>
    </xf>
    <xf numFmtId="10" fontId="12" fillId="0" borderId="0" xfId="0" applyNumberFormat="1" applyFont="1" applyFill="1" applyBorder="1" applyAlignment="1" applyProtection="1">
      <alignment horizontal="center" vertical="top"/>
      <protection/>
    </xf>
    <xf numFmtId="2" fontId="12" fillId="0" borderId="21" xfId="0" applyNumberFormat="1" applyFont="1" applyFill="1" applyBorder="1" applyAlignment="1" applyProtection="1">
      <alignment horizontal="center" vertical="top"/>
      <protection/>
    </xf>
    <xf numFmtId="2" fontId="12" fillId="0" borderId="15" xfId="0" applyNumberFormat="1" applyFont="1" applyBorder="1" applyAlignment="1">
      <alignment horizontal="center" vertical="top"/>
    </xf>
    <xf numFmtId="165" fontId="12" fillId="0" borderId="0" xfId="0" applyNumberFormat="1" applyFont="1" applyFill="1" applyBorder="1" applyAlignment="1" applyProtection="1">
      <alignment horizontal="center" vertical="top"/>
      <protection/>
    </xf>
    <xf numFmtId="165" fontId="12" fillId="0" borderId="15" xfId="0" applyNumberFormat="1" applyFont="1" applyFill="1" applyBorder="1" applyAlignment="1" applyProtection="1">
      <alignment horizontal="center" vertical="top"/>
      <protection/>
    </xf>
    <xf numFmtId="2" fontId="12" fillId="0" borderId="0" xfId="0" applyNumberFormat="1" applyFont="1" applyBorder="1" applyAlignment="1">
      <alignment horizontal="center" vertical="top"/>
    </xf>
    <xf numFmtId="0" fontId="12" fillId="0" borderId="22" xfId="0" applyNumberFormat="1" applyFont="1" applyFill="1" applyBorder="1" applyAlignment="1" applyProtection="1">
      <alignment horizontal="left" vertical="top"/>
      <protection/>
    </xf>
    <xf numFmtId="0" fontId="12" fillId="0" borderId="16" xfId="0" applyNumberFormat="1" applyFont="1" applyFill="1" applyBorder="1" applyAlignment="1" applyProtection="1">
      <alignment horizontal="left" vertical="top"/>
      <protection/>
    </xf>
    <xf numFmtId="0" fontId="12" fillId="0" borderId="17" xfId="0" applyNumberFormat="1" applyFont="1" applyFill="1" applyBorder="1" applyAlignment="1" applyProtection="1">
      <alignment horizontal="center" vertical="center"/>
      <protection/>
    </xf>
    <xf numFmtId="0" fontId="12" fillId="0" borderId="16" xfId="0" applyNumberFormat="1" applyFont="1" applyFill="1" applyBorder="1" applyAlignment="1" applyProtection="1">
      <alignment horizontal="center" vertical="center"/>
      <protection/>
    </xf>
    <xf numFmtId="0" fontId="12" fillId="0" borderId="15" xfId="0" applyNumberFormat="1" applyFont="1" applyFill="1" applyBorder="1" applyAlignment="1" applyProtection="1">
      <alignment horizontal="center" vertical="center"/>
      <protection/>
    </xf>
    <xf numFmtId="0" fontId="12" fillId="0" borderId="21" xfId="0" applyNumberFormat="1" applyFont="1" applyFill="1" applyBorder="1" applyAlignment="1" applyProtection="1">
      <alignment horizontal="center" vertical="center"/>
      <protection/>
    </xf>
    <xf numFmtId="0" fontId="12" fillId="0" borderId="20" xfId="0" applyNumberFormat="1" applyFont="1" applyFill="1" applyBorder="1" applyAlignment="1" applyProtection="1">
      <alignment horizontal="center" vertical="center"/>
      <protection/>
    </xf>
    <xf numFmtId="0" fontId="12" fillId="0" borderId="18" xfId="0" applyNumberFormat="1" applyFont="1" applyFill="1" applyBorder="1" applyAlignment="1" applyProtection="1">
      <alignment horizontal="center" vertical="center"/>
      <protection/>
    </xf>
    <xf numFmtId="0" fontId="13" fillId="0" borderId="15" xfId="0" applyNumberFormat="1" applyFont="1" applyFill="1" applyBorder="1" applyAlignment="1" applyProtection="1">
      <alignment horizontal="center" vertical="center"/>
      <protection/>
    </xf>
    <xf numFmtId="0" fontId="12" fillId="0" borderId="23" xfId="0" applyNumberFormat="1" applyFont="1" applyFill="1" applyBorder="1" applyAlignment="1" applyProtection="1">
      <alignment horizontal="center" vertical="center"/>
      <protection/>
    </xf>
    <xf numFmtId="0" fontId="12" fillId="0" borderId="24" xfId="0" applyNumberFormat="1" applyFont="1" applyFill="1" applyBorder="1" applyAlignment="1" applyProtection="1">
      <alignment horizontal="center" vertical="center"/>
      <protection/>
    </xf>
    <xf numFmtId="2" fontId="12" fillId="0" borderId="0" xfId="0" applyNumberFormat="1" applyFont="1" applyFill="1" applyBorder="1" applyAlignment="1" applyProtection="1">
      <alignment horizontal="center" vertical="center"/>
      <protection/>
    </xf>
    <xf numFmtId="10" fontId="12" fillId="0" borderId="0" xfId="0" applyNumberFormat="1" applyFont="1" applyFill="1" applyBorder="1" applyAlignment="1" applyProtection="1">
      <alignment horizontal="center" vertical="center"/>
      <protection/>
    </xf>
    <xf numFmtId="10" fontId="12" fillId="0" borderId="15" xfId="0" applyNumberFormat="1" applyFont="1" applyFill="1" applyBorder="1" applyAlignment="1" applyProtection="1">
      <alignment horizontal="center" vertical="center"/>
      <protection/>
    </xf>
    <xf numFmtId="10" fontId="12" fillId="0" borderId="24" xfId="0" applyNumberFormat="1" applyFont="1" applyFill="1" applyBorder="1" applyAlignment="1" applyProtection="1">
      <alignment horizontal="center" vertical="center"/>
      <protection/>
    </xf>
    <xf numFmtId="2" fontId="12" fillId="0" borderId="17" xfId="0" applyNumberFormat="1" applyFont="1" applyFill="1" applyBorder="1" applyAlignment="1" applyProtection="1">
      <alignment horizontal="center" vertical="center"/>
      <protection/>
    </xf>
    <xf numFmtId="3" fontId="12" fillId="0" borderId="15" xfId="0" applyNumberFormat="1" applyFont="1" applyFill="1" applyBorder="1" applyAlignment="1" applyProtection="1">
      <alignment horizontal="center" vertical="center"/>
      <protection/>
    </xf>
    <xf numFmtId="3" fontId="12" fillId="0" borderId="0" xfId="0" applyNumberFormat="1" applyFont="1" applyFill="1" applyBorder="1" applyAlignment="1" applyProtection="1">
      <alignment horizontal="center" vertical="top"/>
      <protection/>
    </xf>
    <xf numFmtId="3" fontId="12" fillId="0" borderId="15" xfId="0" applyNumberFormat="1" applyFont="1" applyFill="1" applyBorder="1" applyAlignment="1" applyProtection="1">
      <alignment horizontal="center" vertical="top"/>
      <protection/>
    </xf>
    <xf numFmtId="2" fontId="12" fillId="0" borderId="15" xfId="0" applyNumberFormat="1" applyFont="1" applyFill="1" applyBorder="1" applyAlignment="1" applyProtection="1">
      <alignment horizontal="center" vertical="center"/>
      <protection/>
    </xf>
    <xf numFmtId="2" fontId="12" fillId="0" borderId="15" xfId="0" applyNumberFormat="1" applyFont="1" applyFill="1" applyBorder="1" applyAlignment="1" applyProtection="1">
      <alignment horizontal="center" vertical="top"/>
      <protection/>
    </xf>
    <xf numFmtId="2" fontId="12" fillId="0" borderId="0" xfId="0" applyNumberFormat="1" applyFont="1" applyFill="1" applyBorder="1" applyAlignment="1" applyProtection="1">
      <alignment vertical="top"/>
      <protection/>
    </xf>
    <xf numFmtId="2" fontId="12" fillId="0" borderId="21" xfId="0" applyNumberFormat="1" applyFont="1" applyFill="1" applyBorder="1" applyAlignment="1" applyProtection="1">
      <alignment horizontal="center" vertical="center"/>
      <protection/>
    </xf>
    <xf numFmtId="2" fontId="12" fillId="0" borderId="17" xfId="0" applyNumberFormat="1" applyFont="1" applyFill="1" applyBorder="1" applyAlignment="1" applyProtection="1">
      <alignment horizontal="center" vertical="top"/>
      <protection/>
    </xf>
    <xf numFmtId="2" fontId="12" fillId="0" borderId="17" xfId="0" applyNumberFormat="1" applyFont="1" applyFill="1" applyBorder="1" applyAlignment="1" applyProtection="1">
      <alignment horizontal="right" vertical="top"/>
      <protection/>
    </xf>
    <xf numFmtId="2" fontId="12" fillId="0" borderId="16" xfId="0" applyNumberFormat="1" applyFont="1" applyFill="1" applyBorder="1" applyAlignment="1" applyProtection="1">
      <alignment horizontal="center" vertical="top"/>
      <protection/>
    </xf>
    <xf numFmtId="3" fontId="12" fillId="0" borderId="19" xfId="0" applyNumberFormat="1" applyFont="1" applyFill="1" applyBorder="1" applyAlignment="1" applyProtection="1">
      <alignment vertical="top"/>
      <protection/>
    </xf>
    <xf numFmtId="3" fontId="12" fillId="0" borderId="20" xfId="0" applyNumberFormat="1" applyFont="1" applyFill="1" applyBorder="1" applyAlignment="1" applyProtection="1">
      <alignment vertical="top"/>
      <protection/>
    </xf>
    <xf numFmtId="165" fontId="12" fillId="0" borderId="15" xfId="0" applyNumberFormat="1" applyFont="1" applyFill="1" applyBorder="1" applyAlignment="1" applyProtection="1">
      <alignment horizontal="center" vertical="center"/>
      <protection/>
    </xf>
    <xf numFmtId="165" fontId="12" fillId="0" borderId="0" xfId="0" applyNumberFormat="1" applyFont="1" applyFill="1" applyBorder="1" applyAlignment="1" applyProtection="1">
      <alignment horizontal="right" vertical="top"/>
      <protection/>
    </xf>
    <xf numFmtId="0" fontId="12" fillId="0" borderId="0" xfId="0" applyNumberFormat="1" applyFont="1" applyFill="1" applyBorder="1" applyAlignment="1" applyProtection="1">
      <alignment vertical="center"/>
      <protection/>
    </xf>
    <xf numFmtId="0" fontId="12" fillId="0" borderId="15" xfId="0" applyNumberFormat="1" applyFont="1" applyFill="1" applyBorder="1" applyAlignment="1" applyProtection="1">
      <alignment vertical="top"/>
      <protection/>
    </xf>
    <xf numFmtId="165" fontId="12" fillId="0" borderId="25" xfId="0" applyNumberFormat="1" applyFont="1" applyFill="1" applyBorder="1" applyAlignment="1" applyProtection="1">
      <alignment horizontal="center" vertical="center"/>
      <protection/>
    </xf>
    <xf numFmtId="165" fontId="12" fillId="0" borderId="26" xfId="0" applyNumberFormat="1" applyFont="1" applyFill="1" applyBorder="1" applyAlignment="1" applyProtection="1">
      <alignment horizontal="center" vertical="top"/>
      <protection/>
    </xf>
    <xf numFmtId="165" fontId="12" fillId="0" borderId="25" xfId="0" applyNumberFormat="1" applyFont="1" applyFill="1" applyBorder="1" applyAlignment="1" applyProtection="1">
      <alignment horizontal="center" vertical="top"/>
      <protection/>
    </xf>
    <xf numFmtId="0" fontId="12" fillId="0" borderId="27" xfId="0" applyNumberFormat="1" applyFont="1" applyFill="1" applyBorder="1" applyAlignment="1" applyProtection="1">
      <alignment horizontal="right" vertical="top"/>
      <protection/>
    </xf>
    <xf numFmtId="0" fontId="12" fillId="0" borderId="28" xfId="0" applyNumberFormat="1" applyFont="1" applyFill="1" applyBorder="1" applyAlignment="1" applyProtection="1">
      <alignment horizontal="center" vertical="top"/>
      <protection/>
    </xf>
    <xf numFmtId="3" fontId="12" fillId="0" borderId="0" xfId="0" applyNumberFormat="1" applyFont="1" applyFill="1" applyBorder="1" applyAlignment="1" applyProtection="1">
      <alignment horizontal="right" vertical="top"/>
      <protection/>
    </xf>
    <xf numFmtId="3" fontId="12" fillId="0" borderId="0" xfId="0" applyNumberFormat="1" applyFont="1" applyFill="1" applyBorder="1" applyAlignment="1" applyProtection="1">
      <alignment horizontal="left" vertical="top"/>
      <protection/>
    </xf>
    <xf numFmtId="0" fontId="12" fillId="0" borderId="22" xfId="0" applyNumberFormat="1" applyFont="1" applyFill="1" applyBorder="1" applyAlignment="1" applyProtection="1">
      <alignment horizontal="center" vertical="center"/>
      <protection/>
    </xf>
    <xf numFmtId="10" fontId="12" fillId="0" borderId="22" xfId="0" applyNumberFormat="1" applyFont="1" applyFill="1" applyBorder="1" applyAlignment="1" applyProtection="1">
      <alignment horizontal="center" vertical="center"/>
      <protection/>
    </xf>
    <xf numFmtId="0" fontId="12" fillId="0" borderId="29" xfId="0" applyNumberFormat="1" applyFont="1" applyFill="1" applyBorder="1" applyAlignment="1" applyProtection="1">
      <alignment horizontal="center" vertical="center"/>
      <protection/>
    </xf>
    <xf numFmtId="0" fontId="12" fillId="0" borderId="30" xfId="0" applyNumberFormat="1" applyFont="1" applyFill="1" applyBorder="1" applyAlignment="1" applyProtection="1">
      <alignment horizontal="center" vertical="center"/>
      <protection/>
    </xf>
    <xf numFmtId="3" fontId="12" fillId="0" borderId="22" xfId="0" applyNumberFormat="1" applyFont="1" applyFill="1" applyBorder="1" applyAlignment="1" applyProtection="1">
      <alignment horizontal="center" vertical="center"/>
      <protection/>
    </xf>
    <xf numFmtId="2" fontId="12" fillId="0" borderId="22" xfId="0" applyNumberFormat="1" applyFont="1" applyFill="1" applyBorder="1" applyAlignment="1" applyProtection="1">
      <alignment horizontal="center" vertical="center"/>
      <protection/>
    </xf>
    <xf numFmtId="2" fontId="12" fillId="0" borderId="29" xfId="0" applyNumberFormat="1" applyFont="1" applyFill="1" applyBorder="1" applyAlignment="1" applyProtection="1">
      <alignment horizontal="center" vertical="center"/>
      <protection/>
    </xf>
    <xf numFmtId="0" fontId="12" fillId="0" borderId="31" xfId="0" applyNumberFormat="1" applyFont="1" applyFill="1" applyBorder="1" applyAlignment="1" applyProtection="1">
      <alignment horizontal="center" vertical="center"/>
      <protection/>
    </xf>
    <xf numFmtId="165" fontId="12" fillId="0" borderId="32" xfId="0" applyNumberFormat="1" applyFont="1" applyFill="1" applyBorder="1" applyAlignment="1" applyProtection="1">
      <alignment horizontal="center" vertical="center"/>
      <protection/>
    </xf>
    <xf numFmtId="0" fontId="13" fillId="0" borderId="3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top"/>
      <protection/>
    </xf>
    <xf numFmtId="0" fontId="1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10" fontId="12" fillId="0" borderId="15" xfId="0" applyNumberFormat="1" applyFont="1" applyFill="1" applyBorder="1" applyAlignment="1" applyProtection="1">
      <alignment horizontal="center" vertical="top"/>
      <protection/>
    </xf>
    <xf numFmtId="3" fontId="12" fillId="0" borderId="19" xfId="0" applyNumberFormat="1" applyFont="1" applyFill="1" applyBorder="1" applyAlignment="1" applyProtection="1">
      <alignment horizontal="center" vertical="top"/>
      <protection/>
    </xf>
    <xf numFmtId="3" fontId="12" fillId="0" borderId="20" xfId="0" applyNumberFormat="1" applyFont="1" applyFill="1" applyBorder="1" applyAlignment="1" applyProtection="1">
      <alignment horizontal="center" vertical="top"/>
      <protection/>
    </xf>
    <xf numFmtId="165" fontId="12" fillId="0" borderId="0" xfId="0" applyNumberFormat="1" applyFont="1" applyFill="1" applyBorder="1" applyAlignment="1" applyProtection="1">
      <alignment vertical="top"/>
      <protection/>
    </xf>
    <xf numFmtId="165" fontId="12" fillId="0" borderId="32" xfId="0" applyNumberFormat="1" applyFont="1" applyFill="1" applyBorder="1" applyAlignment="1" applyProtection="1">
      <alignment horizontal="center" vertical="top"/>
      <protection/>
    </xf>
    <xf numFmtId="0" fontId="12" fillId="0" borderId="0" xfId="0" applyNumberFormat="1" applyFont="1" applyFill="1" applyBorder="1" applyAlignment="1" applyProtection="1">
      <alignment horizontal="left" vertical="center"/>
      <protection/>
    </xf>
    <xf numFmtId="0" fontId="12" fillId="0" borderId="22" xfId="0" applyNumberFormat="1" applyFont="1" applyFill="1" applyBorder="1" applyAlignment="1" applyProtection="1">
      <alignment horizontal="left" vertical="center"/>
      <protection/>
    </xf>
    <xf numFmtId="2" fontId="12" fillId="0" borderId="0" xfId="0" applyNumberFormat="1" applyFont="1" applyBorder="1" applyAlignment="1">
      <alignment horizontal="center" vertical="center"/>
    </xf>
    <xf numFmtId="0" fontId="12" fillId="0" borderId="15" xfId="0" applyNumberFormat="1" applyFont="1" applyFill="1" applyBorder="1" applyAlignment="1" applyProtection="1">
      <alignment horizontal="left" vertical="center"/>
      <protection/>
    </xf>
    <xf numFmtId="2" fontId="12" fillId="0" borderId="15" xfId="0" applyNumberFormat="1" applyFont="1" applyBorder="1" applyAlignment="1">
      <alignment horizontal="center" vertical="center"/>
    </xf>
    <xf numFmtId="3" fontId="12" fillId="0" borderId="20" xfId="0" applyNumberFormat="1" applyFont="1" applyFill="1" applyBorder="1" applyAlignment="1" applyProtection="1">
      <alignment horizontal="center" vertical="center"/>
      <protection/>
    </xf>
    <xf numFmtId="2" fontId="12" fillId="0" borderId="19" xfId="0" applyNumberFormat="1" applyFont="1" applyFill="1" applyBorder="1" applyAlignment="1" applyProtection="1">
      <alignment horizontal="center" vertical="center"/>
      <protection/>
    </xf>
    <xf numFmtId="2" fontId="12" fillId="0" borderId="20" xfId="0" applyNumberFormat="1" applyFont="1" applyFill="1" applyBorder="1" applyAlignment="1" applyProtection="1">
      <alignment horizontal="center" vertical="center"/>
      <protection/>
    </xf>
    <xf numFmtId="2" fontId="12" fillId="0" borderId="23" xfId="0" applyNumberFormat="1" applyFont="1" applyFill="1" applyBorder="1" applyAlignment="1" applyProtection="1">
      <alignment horizontal="center" vertical="center"/>
      <protection/>
    </xf>
    <xf numFmtId="3" fontId="12" fillId="0" borderId="24" xfId="0" applyNumberFormat="1" applyFont="1" applyFill="1" applyBorder="1" applyAlignment="1" applyProtection="1">
      <alignment horizontal="center" vertical="center"/>
      <protection/>
    </xf>
    <xf numFmtId="2" fontId="12" fillId="0" borderId="33" xfId="0" applyNumberFormat="1" applyFont="1" applyFill="1" applyBorder="1" applyAlignment="1" applyProtection="1">
      <alignment horizontal="center" vertical="center"/>
      <protection/>
    </xf>
    <xf numFmtId="2" fontId="12" fillId="0" borderId="16" xfId="0" applyNumberFormat="1" applyFont="1" applyFill="1" applyBorder="1" applyAlignment="1" applyProtection="1">
      <alignment horizontal="center" vertical="center"/>
      <protection/>
    </xf>
    <xf numFmtId="2" fontId="12" fillId="0" borderId="18" xfId="0" applyNumberFormat="1" applyFont="1" applyFill="1" applyBorder="1" applyAlignment="1" applyProtection="1">
      <alignment horizontal="center" vertical="center"/>
      <protection/>
    </xf>
    <xf numFmtId="3" fontId="12" fillId="0" borderId="23" xfId="0" applyNumberFormat="1" applyFont="1" applyFill="1" applyBorder="1" applyAlignment="1" applyProtection="1">
      <alignment horizontal="center" vertical="center"/>
      <protection/>
    </xf>
    <xf numFmtId="165" fontId="12" fillId="0" borderId="0" xfId="0" applyNumberFormat="1" applyFont="1" applyFill="1" applyBorder="1" applyAlignment="1" applyProtection="1">
      <alignment horizontal="left" vertical="top"/>
      <protection/>
    </xf>
    <xf numFmtId="2" fontId="12" fillId="0" borderId="30" xfId="0" applyNumberFormat="1" applyFont="1" applyFill="1" applyBorder="1" applyAlignment="1" applyProtection="1">
      <alignment horizontal="center" vertical="center"/>
      <protection/>
    </xf>
    <xf numFmtId="0" fontId="12" fillId="0" borderId="24" xfId="0" applyNumberFormat="1" applyFont="1" applyFill="1" applyBorder="1" applyAlignment="1" applyProtection="1">
      <alignment horizontal="left" vertical="center"/>
      <protection/>
    </xf>
    <xf numFmtId="0" fontId="12" fillId="0" borderId="22" xfId="0" applyNumberFormat="1" applyFont="1" applyFill="1" applyBorder="1" applyAlignment="1" applyProtection="1">
      <alignment vertical="center"/>
      <protection/>
    </xf>
    <xf numFmtId="0" fontId="12" fillId="0" borderId="24" xfId="0" applyNumberFormat="1" applyFont="1" applyFill="1" applyBorder="1" applyAlignment="1" applyProtection="1">
      <alignment vertical="center"/>
      <protection/>
    </xf>
    <xf numFmtId="2" fontId="12" fillId="0" borderId="24" xfId="0" applyNumberFormat="1" applyFont="1" applyBorder="1" applyAlignment="1">
      <alignment horizontal="center" vertical="center"/>
    </xf>
    <xf numFmtId="2" fontId="12" fillId="0" borderId="34" xfId="0" applyNumberFormat="1" applyFont="1" applyFill="1" applyBorder="1" applyAlignment="1" applyProtection="1">
      <alignment horizontal="center" vertical="center"/>
      <protection/>
    </xf>
    <xf numFmtId="2" fontId="12" fillId="0" borderId="19" xfId="0" applyNumberFormat="1" applyFont="1" applyFill="1" applyBorder="1" applyAlignment="1" applyProtection="1">
      <alignment horizontal="center"/>
      <protection/>
    </xf>
    <xf numFmtId="3" fontId="12" fillId="0" borderId="0" xfId="0" applyNumberFormat="1" applyFont="1" applyFill="1" applyBorder="1" applyAlignment="1" applyProtection="1">
      <alignment horizontal="center"/>
      <protection/>
    </xf>
    <xf numFmtId="0" fontId="12" fillId="0" borderId="16"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10" fontId="12" fillId="0" borderId="0" xfId="0" applyNumberFormat="1" applyFont="1" applyFill="1" applyBorder="1" applyAlignment="1" applyProtection="1">
      <alignment horizontal="center"/>
      <protection/>
    </xf>
    <xf numFmtId="0" fontId="12" fillId="0" borderId="24"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protection/>
    </xf>
    <xf numFmtId="0" fontId="12" fillId="0" borderId="15" xfId="0" applyNumberFormat="1" applyFont="1" applyFill="1" applyBorder="1" applyAlignment="1" applyProtection="1">
      <alignment horizontal="center"/>
      <protection/>
    </xf>
    <xf numFmtId="10" fontId="12" fillId="0" borderId="15" xfId="0" applyNumberFormat="1" applyFont="1" applyFill="1" applyBorder="1" applyAlignment="1" applyProtection="1">
      <alignment horizontal="center"/>
      <protection/>
    </xf>
    <xf numFmtId="10" fontId="12" fillId="0" borderId="35" xfId="0" applyNumberFormat="1" applyFont="1" applyFill="1" applyBorder="1" applyAlignment="1" applyProtection="1">
      <alignment horizontal="center"/>
      <protection/>
    </xf>
    <xf numFmtId="16" fontId="12" fillId="0" borderId="0" xfId="0" applyNumberFormat="1" applyFont="1" applyFill="1" applyBorder="1" applyAlignment="1" applyProtection="1">
      <alignment horizontal="left" vertical="center"/>
      <protection/>
    </xf>
    <xf numFmtId="16" fontId="12" fillId="0" borderId="0" xfId="0" applyNumberFormat="1" applyFont="1" applyFill="1" applyBorder="1" applyAlignment="1" applyProtection="1">
      <alignment horizontal="center"/>
      <protection/>
    </xf>
    <xf numFmtId="2" fontId="12" fillId="0" borderId="23" xfId="0" applyNumberFormat="1" applyFont="1" applyFill="1" applyBorder="1" applyAlignment="1" applyProtection="1">
      <alignment horizontal="center"/>
      <protection/>
    </xf>
    <xf numFmtId="2" fontId="12" fillId="0" borderId="20" xfId="0" applyNumberFormat="1" applyFont="1" applyFill="1" applyBorder="1" applyAlignment="1" applyProtection="1">
      <alignment horizontal="center"/>
      <protection/>
    </xf>
    <xf numFmtId="3" fontId="12" fillId="0" borderId="24" xfId="0" applyNumberFormat="1" applyFont="1" applyFill="1" applyBorder="1" applyAlignment="1" applyProtection="1">
      <alignment horizontal="center"/>
      <protection/>
    </xf>
    <xf numFmtId="3" fontId="12" fillId="0" borderId="15" xfId="0" applyNumberFormat="1" applyFont="1" applyFill="1" applyBorder="1" applyAlignment="1" applyProtection="1">
      <alignment horizontal="center"/>
      <protection/>
    </xf>
    <xf numFmtId="165" fontId="12" fillId="0" borderId="26" xfId="0" applyNumberFormat="1" applyFont="1" applyFill="1" applyBorder="1" applyAlignment="1" applyProtection="1">
      <alignment horizontal="center" vertical="center"/>
      <protection/>
    </xf>
    <xf numFmtId="0" fontId="12" fillId="0" borderId="36" xfId="0" applyNumberFormat="1" applyFont="1" applyFill="1" applyBorder="1" applyAlignment="1" applyProtection="1">
      <alignment horizontal="center" vertical="center"/>
      <protection/>
    </xf>
    <xf numFmtId="0" fontId="12" fillId="0" borderId="28" xfId="0" applyNumberFormat="1" applyFont="1" applyFill="1" applyBorder="1" applyAlignment="1" applyProtection="1">
      <alignment horizontal="center" vertical="center"/>
      <protection/>
    </xf>
    <xf numFmtId="0" fontId="13" fillId="0" borderId="37" xfId="0" applyNumberFormat="1" applyFont="1" applyFill="1" applyBorder="1" applyAlignment="1" applyProtection="1">
      <alignment horizontal="center" vertical="center"/>
      <protection/>
    </xf>
    <xf numFmtId="0" fontId="13" fillId="0" borderId="28" xfId="0" applyNumberFormat="1" applyFont="1" applyFill="1" applyBorder="1" applyAlignment="1" applyProtection="1">
      <alignment horizontal="center" vertical="center"/>
      <protection/>
    </xf>
    <xf numFmtId="0" fontId="13" fillId="0" borderId="36" xfId="0" applyNumberFormat="1" applyFont="1" applyFill="1" applyBorder="1" applyAlignment="1" applyProtection="1">
      <alignment horizontal="center" vertical="center"/>
      <protection/>
    </xf>
    <xf numFmtId="2" fontId="12" fillId="0" borderId="33" xfId="0" applyNumberFormat="1" applyFont="1" applyFill="1" applyBorder="1" applyAlignment="1" applyProtection="1">
      <alignment horizontal="center"/>
      <protection/>
    </xf>
    <xf numFmtId="2" fontId="12" fillId="0" borderId="16" xfId="0" applyNumberFormat="1" applyFont="1" applyFill="1" applyBorder="1" applyAlignment="1" applyProtection="1">
      <alignment horizontal="center"/>
      <protection/>
    </xf>
    <xf numFmtId="2" fontId="12" fillId="0" borderId="18" xfId="0" applyNumberFormat="1" applyFont="1" applyFill="1" applyBorder="1" applyAlignment="1" applyProtection="1">
      <alignment horizontal="center"/>
      <protection/>
    </xf>
    <xf numFmtId="2" fontId="12" fillId="0" borderId="0" xfId="0" applyNumberFormat="1" applyFont="1" applyFill="1" applyBorder="1" applyAlignment="1" applyProtection="1">
      <alignment horizontal="center"/>
      <protection/>
    </xf>
    <xf numFmtId="3" fontId="12" fillId="0" borderId="23" xfId="0" applyNumberFormat="1" applyFont="1" applyFill="1" applyBorder="1" applyAlignment="1" applyProtection="1">
      <alignment horizontal="center"/>
      <protection/>
    </xf>
    <xf numFmtId="3" fontId="12" fillId="0" borderId="19" xfId="0" applyNumberFormat="1" applyFont="1" applyFill="1" applyBorder="1" applyAlignment="1" applyProtection="1">
      <alignment horizontal="center"/>
      <protection/>
    </xf>
    <xf numFmtId="3" fontId="12" fillId="0" borderId="20" xfId="0" applyNumberFormat="1" applyFont="1" applyFill="1" applyBorder="1" applyAlignment="1" applyProtection="1">
      <alignment horizontal="center"/>
      <protection/>
    </xf>
    <xf numFmtId="165" fontId="12" fillId="0" borderId="35" xfId="0" applyNumberFormat="1" applyFont="1" applyFill="1" applyBorder="1" applyAlignment="1" applyProtection="1">
      <alignment horizontal="center"/>
      <protection/>
    </xf>
    <xf numFmtId="165" fontId="12" fillId="0" borderId="0" xfId="0" applyNumberFormat="1" applyFont="1" applyFill="1" applyBorder="1" applyAlignment="1" applyProtection="1">
      <alignment horizontal="center"/>
      <protection/>
    </xf>
    <xf numFmtId="165" fontId="12" fillId="0" borderId="15" xfId="0" applyNumberFormat="1" applyFont="1" applyFill="1" applyBorder="1" applyAlignment="1" applyProtection="1">
      <alignment horizontal="center"/>
      <protection/>
    </xf>
    <xf numFmtId="165" fontId="12" fillId="0" borderId="38" xfId="0" applyNumberFormat="1" applyFont="1" applyFill="1" applyBorder="1" applyAlignment="1" applyProtection="1">
      <alignment horizontal="center" vertical="center"/>
      <protection/>
    </xf>
    <xf numFmtId="165" fontId="12" fillId="0" borderId="22" xfId="0" applyNumberFormat="1" applyFont="1" applyFill="1" applyBorder="1" applyAlignment="1" applyProtection="1">
      <alignment horizontal="center" vertical="center"/>
      <protection/>
    </xf>
    <xf numFmtId="0" fontId="12" fillId="0" borderId="36" xfId="0" applyNumberFormat="1" applyFont="1" applyFill="1" applyBorder="1" applyAlignment="1" applyProtection="1">
      <alignment horizontal="center"/>
      <protection/>
    </xf>
    <xf numFmtId="165" fontId="13" fillId="0" borderId="27" xfId="0" applyNumberFormat="1" applyFont="1" applyFill="1" applyBorder="1" applyAlignment="1" applyProtection="1">
      <alignment horizontal="center"/>
      <protection/>
    </xf>
    <xf numFmtId="0" fontId="12" fillId="0" borderId="37" xfId="0" applyNumberFormat="1" applyFont="1" applyFill="1" applyBorder="1" applyAlignment="1" applyProtection="1">
      <alignment horizontal="center"/>
      <protection/>
    </xf>
    <xf numFmtId="0" fontId="12" fillId="0" borderId="28" xfId="0" applyNumberFormat="1" applyFont="1" applyFill="1" applyBorder="1" applyAlignment="1" applyProtection="1">
      <alignment horizontal="center"/>
      <protection/>
    </xf>
    <xf numFmtId="165" fontId="13" fillId="0" borderId="25" xfId="0" applyNumberFormat="1" applyFont="1" applyFill="1" applyBorder="1" applyAlignment="1" applyProtection="1">
      <alignment horizontal="center"/>
      <protection/>
    </xf>
    <xf numFmtId="0" fontId="13" fillId="0" borderId="37" xfId="0" applyNumberFormat="1" applyFont="1" applyFill="1" applyBorder="1" applyAlignment="1" applyProtection="1">
      <alignment horizontal="center"/>
      <protection/>
    </xf>
    <xf numFmtId="0" fontId="13" fillId="0" borderId="28" xfId="0" applyNumberFormat="1" applyFont="1" applyFill="1" applyBorder="1" applyAlignment="1" applyProtection="1">
      <alignment horizontal="center"/>
      <protection/>
    </xf>
    <xf numFmtId="0" fontId="12" fillId="0" borderId="26" xfId="0" applyNumberFormat="1" applyFont="1" applyFill="1" applyBorder="1" applyAlignment="1" applyProtection="1">
      <alignment horizontal="center"/>
      <protection/>
    </xf>
    <xf numFmtId="0" fontId="12" fillId="0" borderId="27" xfId="0" applyNumberFormat="1" applyFont="1" applyFill="1" applyBorder="1" applyAlignment="1" applyProtection="1">
      <alignment horizontal="center"/>
      <protection/>
    </xf>
    <xf numFmtId="0" fontId="12" fillId="0" borderId="25" xfId="0" applyNumberFormat="1" applyFont="1" applyFill="1" applyBorder="1" applyAlignment="1" applyProtection="1">
      <alignment horizontal="center"/>
      <protection/>
    </xf>
    <xf numFmtId="165" fontId="13" fillId="0" borderId="26" xfId="0" applyNumberFormat="1" applyFont="1" applyFill="1" applyBorder="1" applyAlignment="1" applyProtection="1">
      <alignment horizontal="center"/>
      <protection/>
    </xf>
    <xf numFmtId="0" fontId="13" fillId="0" borderId="36" xfId="0" applyNumberFormat="1" applyFont="1" applyFill="1" applyBorder="1" applyAlignment="1" applyProtection="1">
      <alignment horizontal="center"/>
      <protection/>
    </xf>
    <xf numFmtId="4" fontId="12" fillId="0" borderId="0" xfId="0" applyNumberFormat="1" applyFont="1" applyFill="1" applyBorder="1" applyAlignment="1" applyProtection="1">
      <alignment horizontal="center" vertical="center"/>
      <protection/>
    </xf>
    <xf numFmtId="2" fontId="12" fillId="0" borderId="24" xfId="0" applyNumberFormat="1" applyFont="1" applyFill="1" applyBorder="1" applyAlignment="1" applyProtection="1">
      <alignment horizontal="center"/>
      <protection/>
    </xf>
    <xf numFmtId="2" fontId="12" fillId="0" borderId="15" xfId="0" applyNumberFormat="1" applyFont="1" applyFill="1" applyBorder="1" applyAlignment="1" applyProtection="1">
      <alignment horizontal="center"/>
      <protection/>
    </xf>
    <xf numFmtId="0" fontId="2" fillId="0" borderId="0" xfId="0" applyNumberFormat="1" applyFont="1" applyFill="1" applyBorder="1" applyAlignment="1" applyProtection="1">
      <alignment vertical="center"/>
      <protection/>
    </xf>
    <xf numFmtId="10" fontId="12" fillId="0" borderId="0" xfId="0" applyNumberFormat="1" applyFont="1" applyFill="1" applyBorder="1" applyAlignment="1" applyProtection="1">
      <alignment vertical="top"/>
      <protection/>
    </xf>
    <xf numFmtId="3" fontId="12" fillId="0" borderId="0" xfId="0" applyNumberFormat="1" applyFont="1" applyFill="1" applyBorder="1" applyAlignment="1" applyProtection="1">
      <alignment vertical="top"/>
      <protection/>
    </xf>
    <xf numFmtId="165" fontId="12" fillId="0" borderId="27" xfId="0" applyNumberFormat="1" applyFont="1" applyFill="1" applyBorder="1" applyAlignment="1" applyProtection="1">
      <alignment horizontal="left" vertical="top" indent="1"/>
      <protection/>
    </xf>
    <xf numFmtId="165" fontId="12" fillId="0" borderId="27" xfId="0" applyNumberFormat="1" applyFont="1" applyFill="1" applyBorder="1" applyAlignment="1" applyProtection="1">
      <alignment horizontal="center"/>
      <protection/>
    </xf>
    <xf numFmtId="3" fontId="12" fillId="0" borderId="30" xfId="0" applyNumberFormat="1" applyFont="1" applyFill="1" applyBorder="1" applyAlignment="1" applyProtection="1">
      <alignment horizontal="center" vertical="center"/>
      <protection/>
    </xf>
    <xf numFmtId="0" fontId="12" fillId="0" borderId="38" xfId="0" applyNumberFormat="1" applyFont="1" applyFill="1" applyBorder="1" applyAlignment="1" applyProtection="1">
      <alignment horizontal="center" vertical="center"/>
      <protection/>
    </xf>
    <xf numFmtId="3" fontId="12" fillId="0" borderId="37" xfId="0" applyNumberFormat="1" applyFont="1" applyFill="1" applyBorder="1" applyAlignment="1" applyProtection="1">
      <alignment horizontal="center" vertical="center"/>
      <protection/>
    </xf>
    <xf numFmtId="0" fontId="12" fillId="0" borderId="32" xfId="0" applyNumberFormat="1" applyFont="1" applyFill="1" applyBorder="1" applyAlignment="1" applyProtection="1">
      <alignment horizontal="center" vertical="center"/>
      <protection/>
    </xf>
    <xf numFmtId="3" fontId="12" fillId="0" borderId="38" xfId="0" applyNumberFormat="1" applyFont="1" applyFill="1" applyBorder="1" applyAlignment="1" applyProtection="1">
      <alignment horizontal="center" vertical="center"/>
      <protection/>
    </xf>
    <xf numFmtId="4" fontId="12" fillId="0" borderId="19" xfId="0" applyNumberFormat="1" applyFont="1" applyFill="1" applyBorder="1" applyAlignment="1" applyProtection="1">
      <alignment horizontal="center" vertical="center"/>
      <protection/>
    </xf>
    <xf numFmtId="4" fontId="12" fillId="0" borderId="20" xfId="0" applyNumberFormat="1" applyFont="1" applyFill="1" applyBorder="1" applyAlignment="1" applyProtection="1">
      <alignment horizontal="center" vertical="center"/>
      <protection/>
    </xf>
    <xf numFmtId="4" fontId="12" fillId="0" borderId="16" xfId="0" applyNumberFormat="1" applyFont="1" applyFill="1" applyBorder="1" applyAlignment="1" applyProtection="1">
      <alignment horizontal="center" vertical="center"/>
      <protection/>
    </xf>
    <xf numFmtId="4" fontId="12" fillId="0" borderId="30" xfId="0" applyNumberFormat="1" applyFont="1" applyFill="1" applyBorder="1" applyAlignment="1" applyProtection="1">
      <alignment horizontal="center" vertical="center"/>
      <protection/>
    </xf>
    <xf numFmtId="0" fontId="12" fillId="0" borderId="28" xfId="0" applyNumberFormat="1" applyFont="1" applyFill="1" applyBorder="1" applyAlignment="1" applyProtection="1">
      <alignment horizontal="center" vertical="center" wrapText="1"/>
      <protection/>
    </xf>
    <xf numFmtId="0" fontId="12" fillId="0" borderId="22" xfId="0" applyNumberFormat="1" applyFont="1" applyFill="1" applyBorder="1" applyAlignment="1" applyProtection="1">
      <alignment vertical="top"/>
      <protection/>
    </xf>
    <xf numFmtId="0" fontId="12" fillId="0" borderId="37" xfId="0" applyNumberFormat="1" applyFont="1" applyFill="1" applyBorder="1" applyAlignment="1" applyProtection="1">
      <alignment horizontal="center" vertical="center" wrapText="1"/>
      <protection/>
    </xf>
    <xf numFmtId="0" fontId="12" fillId="0" borderId="38" xfId="0" applyNumberFormat="1" applyFont="1" applyFill="1" applyBorder="1" applyAlignment="1" applyProtection="1">
      <alignment horizontal="center" vertical="center" wrapText="1"/>
      <protection/>
    </xf>
    <xf numFmtId="0" fontId="12" fillId="0" borderId="22" xfId="0" applyNumberFormat="1" applyFont="1" applyFill="1" applyBorder="1" applyAlignment="1" applyProtection="1">
      <alignment horizontal="center" vertical="center" wrapText="1"/>
      <protection/>
    </xf>
    <xf numFmtId="165" fontId="12" fillId="0" borderId="32" xfId="0" applyNumberFormat="1" applyFont="1" applyFill="1" applyBorder="1" applyAlignment="1" applyProtection="1">
      <alignment horizontal="center" vertical="center" wrapText="1"/>
      <protection/>
    </xf>
    <xf numFmtId="0" fontId="12" fillId="0" borderId="32" xfId="0" applyNumberFormat="1" applyFont="1" applyFill="1" applyBorder="1" applyAlignment="1" applyProtection="1">
      <alignment horizontal="center" vertical="center" wrapText="1"/>
      <protection/>
    </xf>
    <xf numFmtId="3" fontId="13" fillId="0" borderId="37"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vertical="center"/>
      <protection/>
    </xf>
    <xf numFmtId="0" fontId="7" fillId="0" borderId="15" xfId="0" applyNumberFormat="1" applyFont="1" applyFill="1" applyBorder="1" applyAlignment="1" applyProtection="1">
      <alignment vertical="center"/>
      <protection/>
    </xf>
    <xf numFmtId="3" fontId="7" fillId="0" borderId="0" xfId="0" applyNumberFormat="1" applyFont="1" applyFill="1" applyBorder="1" applyAlignment="1" applyProtection="1">
      <alignment vertical="center"/>
      <protection/>
    </xf>
    <xf numFmtId="0" fontId="7" fillId="0" borderId="0" xfId="0" applyNumberFormat="1" applyFont="1" applyFill="1" applyBorder="1" applyAlignment="1" applyProtection="1">
      <alignment horizontal="center" vertical="center"/>
      <protection/>
    </xf>
    <xf numFmtId="0" fontId="3" fillId="0" borderId="39" xfId="0" applyNumberFormat="1" applyFont="1" applyFill="1" applyBorder="1" applyAlignment="1" applyProtection="1">
      <alignment horizontal="center" vertical="top"/>
      <protection/>
    </xf>
    <xf numFmtId="0" fontId="3" fillId="0" borderId="40" xfId="0" applyNumberFormat="1" applyFont="1" applyFill="1" applyBorder="1" applyAlignment="1" applyProtection="1">
      <alignment vertical="top"/>
      <protection/>
    </xf>
    <xf numFmtId="3" fontId="3" fillId="0" borderId="40" xfId="0" applyNumberFormat="1" applyFont="1" applyFill="1" applyBorder="1" applyAlignment="1" applyProtection="1">
      <alignment horizontal="center" vertical="top"/>
      <protection/>
    </xf>
    <xf numFmtId="2" fontId="3" fillId="0" borderId="40" xfId="0" applyNumberFormat="1" applyFont="1" applyFill="1" applyBorder="1" applyAlignment="1" applyProtection="1">
      <alignment horizontal="center" vertical="top"/>
      <protection/>
    </xf>
    <xf numFmtId="165" fontId="3" fillId="0" borderId="40" xfId="0" applyNumberFormat="1" applyFont="1" applyFill="1" applyBorder="1" applyAlignment="1" applyProtection="1">
      <alignment horizontal="center" vertical="top"/>
      <protection/>
    </xf>
    <xf numFmtId="3" fontId="3" fillId="0" borderId="40" xfId="0" applyNumberFormat="1" applyFont="1" applyFill="1" applyBorder="1" applyAlignment="1" applyProtection="1">
      <alignment vertical="top"/>
      <protection/>
    </xf>
    <xf numFmtId="2" fontId="3" fillId="0" borderId="40" xfId="0" applyNumberFormat="1" applyFont="1" applyFill="1" applyBorder="1" applyAlignment="1" applyProtection="1">
      <alignment vertical="top"/>
      <protection/>
    </xf>
    <xf numFmtId="0" fontId="3" fillId="0" borderId="41" xfId="0" applyNumberFormat="1" applyFont="1" applyFill="1" applyBorder="1" applyAlignment="1" applyProtection="1">
      <alignment horizontal="center" vertical="top"/>
      <protection/>
    </xf>
    <xf numFmtId="0" fontId="3" fillId="0" borderId="42" xfId="0" applyNumberFormat="1" applyFont="1" applyFill="1" applyBorder="1" applyAlignment="1" applyProtection="1">
      <alignment horizontal="left" vertical="top"/>
      <protection/>
    </xf>
    <xf numFmtId="3" fontId="3" fillId="0" borderId="42" xfId="0" applyNumberFormat="1" applyFont="1" applyFill="1" applyBorder="1" applyAlignment="1" applyProtection="1">
      <alignment horizontal="center" vertical="top"/>
      <protection/>
    </xf>
    <xf numFmtId="2" fontId="3" fillId="0" borderId="42" xfId="0" applyNumberFormat="1" applyFont="1" applyFill="1" applyBorder="1" applyAlignment="1" applyProtection="1">
      <alignment horizontal="center" vertical="top"/>
      <protection/>
    </xf>
    <xf numFmtId="165" fontId="3" fillId="0" borderId="42" xfId="0" applyNumberFormat="1" applyFont="1" applyFill="1" applyBorder="1" applyAlignment="1" applyProtection="1">
      <alignment horizontal="center" vertical="top"/>
      <protection/>
    </xf>
    <xf numFmtId="3" fontId="3" fillId="0" borderId="42" xfId="0" applyNumberFormat="1" applyFont="1" applyFill="1" applyBorder="1" applyAlignment="1" applyProtection="1">
      <alignment horizontal="left" vertical="top"/>
      <protection/>
    </xf>
    <xf numFmtId="2" fontId="3" fillId="0" borderId="42" xfId="0" applyNumberFormat="1" applyFont="1" applyFill="1" applyBorder="1" applyAlignment="1" applyProtection="1">
      <alignment horizontal="left" vertical="top"/>
      <protection/>
    </xf>
    <xf numFmtId="3" fontId="7" fillId="0" borderId="15" xfId="0" applyNumberFormat="1" applyFont="1" applyFill="1" applyBorder="1" applyAlignment="1" applyProtection="1">
      <alignment vertical="top"/>
      <protection/>
    </xf>
    <xf numFmtId="0" fontId="7" fillId="0" borderId="23"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165" fontId="7" fillId="0" borderId="19" xfId="0" applyNumberFormat="1" applyFont="1" applyFill="1" applyBorder="1" applyAlignment="1" applyProtection="1">
      <alignment vertical="top"/>
      <protection/>
    </xf>
    <xf numFmtId="9" fontId="7" fillId="0" borderId="43" xfId="0" applyNumberFormat="1" applyFont="1" applyFill="1" applyBorder="1" applyAlignment="1" applyProtection="1">
      <alignment horizontal="right" vertical="top"/>
      <protection/>
    </xf>
    <xf numFmtId="9" fontId="7" fillId="0" borderId="44" xfId="0" applyNumberFormat="1" applyFont="1" applyFill="1" applyBorder="1" applyAlignment="1" applyProtection="1">
      <alignment horizontal="right" vertical="top"/>
      <protection/>
    </xf>
    <xf numFmtId="9" fontId="7" fillId="0" borderId="45" xfId="0" applyNumberFormat="1" applyFont="1" applyFill="1" applyBorder="1" applyAlignment="1" applyProtection="1">
      <alignment horizontal="right" vertical="top"/>
      <protection/>
    </xf>
    <xf numFmtId="9" fontId="7" fillId="0" borderId="46" xfId="0" applyNumberFormat="1" applyFont="1" applyFill="1" applyBorder="1" applyAlignment="1" applyProtection="1">
      <alignment horizontal="right" vertical="top"/>
      <protection/>
    </xf>
    <xf numFmtId="168" fontId="2" fillId="0" borderId="11" xfId="0" applyNumberFormat="1" applyFont="1" applyFill="1" applyBorder="1" applyAlignment="1" applyProtection="1">
      <alignment horizontal="center" vertical="top"/>
      <protection/>
    </xf>
    <xf numFmtId="166" fontId="0" fillId="0" borderId="0" xfId="0" applyNumberFormat="1" applyFont="1" applyFill="1" applyBorder="1" applyAlignment="1" applyProtection="1">
      <alignment horizontal="center" vertical="top"/>
      <protection/>
    </xf>
    <xf numFmtId="166" fontId="2" fillId="0" borderId="47" xfId="0" applyNumberFormat="1" applyFont="1" applyFill="1" applyBorder="1" applyAlignment="1" applyProtection="1">
      <alignment horizontal="center" vertical="top" wrapText="1"/>
      <protection/>
    </xf>
    <xf numFmtId="0" fontId="15" fillId="0" borderId="37" xfId="0" applyNumberFormat="1" applyFont="1" applyFill="1" applyBorder="1" applyAlignment="1" applyProtection="1">
      <alignment horizontal="center" vertical="center"/>
      <protection/>
    </xf>
    <xf numFmtId="3" fontId="15" fillId="0" borderId="37" xfId="0" applyNumberFormat="1" applyFont="1" applyFill="1" applyBorder="1" applyAlignment="1" applyProtection="1">
      <alignment horizontal="center" vertical="center"/>
      <protection/>
    </xf>
    <xf numFmtId="3" fontId="15" fillId="0" borderId="28" xfId="0" applyNumberFormat="1" applyFont="1" applyFill="1" applyBorder="1" applyAlignment="1" applyProtection="1">
      <alignment horizontal="center" vertical="center"/>
      <protection/>
    </xf>
    <xf numFmtId="3" fontId="0" fillId="0" borderId="0" xfId="0" applyNumberFormat="1" applyFont="1" applyFill="1" applyBorder="1" applyAlignment="1" applyProtection="1">
      <alignment vertical="top"/>
      <protection/>
    </xf>
    <xf numFmtId="0" fontId="15" fillId="0" borderId="28" xfId="0" applyNumberFormat="1" applyFont="1" applyFill="1" applyBorder="1" applyAlignment="1" applyProtection="1">
      <alignment horizontal="center" vertical="center" wrapText="1"/>
      <protection/>
    </xf>
    <xf numFmtId="0" fontId="12" fillId="0" borderId="0" xfId="0" applyFont="1" applyAlignment="1">
      <alignment/>
    </xf>
    <xf numFmtId="2" fontId="0" fillId="0" borderId="0" xfId="0" applyNumberFormat="1" applyFont="1" applyFill="1" applyBorder="1" applyAlignment="1" applyProtection="1">
      <alignment vertical="top"/>
      <protection/>
    </xf>
    <xf numFmtId="2"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center"/>
      <protection/>
    </xf>
    <xf numFmtId="0" fontId="12" fillId="0" borderId="0" xfId="0" applyFont="1" applyFill="1" applyAlignment="1">
      <alignment/>
    </xf>
    <xf numFmtId="0" fontId="12" fillId="0" borderId="0" xfId="0" applyFont="1" applyFill="1" applyBorder="1" applyAlignment="1">
      <alignment/>
    </xf>
    <xf numFmtId="165" fontId="12" fillId="0" borderId="0" xfId="0" applyNumberFormat="1" applyFont="1" applyFill="1" applyBorder="1" applyAlignment="1">
      <alignment horizontal="center"/>
    </xf>
    <xf numFmtId="44" fontId="12" fillId="0" borderId="0" xfId="0" applyNumberFormat="1" applyFont="1" applyFill="1" applyBorder="1" applyAlignment="1">
      <alignment/>
    </xf>
    <xf numFmtId="44" fontId="12" fillId="0" borderId="0" xfId="44" applyFont="1" applyFill="1" applyBorder="1" applyAlignment="1">
      <alignment/>
    </xf>
    <xf numFmtId="0" fontId="12" fillId="0" borderId="0" xfId="0" applyFont="1" applyFill="1" applyAlignment="1">
      <alignment vertical="center"/>
    </xf>
    <xf numFmtId="0" fontId="12" fillId="0" borderId="22" xfId="0" applyFont="1" applyFill="1" applyBorder="1" applyAlignment="1">
      <alignment horizontal="center" vertical="center"/>
    </xf>
    <xf numFmtId="3" fontId="12" fillId="0" borderId="38" xfId="0" applyNumberFormat="1" applyFont="1" applyFill="1" applyBorder="1" applyAlignment="1" applyProtection="1">
      <alignment horizontal="center" vertical="center" wrapText="1"/>
      <protection/>
    </xf>
    <xf numFmtId="165" fontId="13" fillId="0" borderId="0" xfId="0" applyNumberFormat="1" applyFont="1" applyFill="1" applyBorder="1" applyAlignment="1" applyProtection="1">
      <alignment horizontal="center"/>
      <protection/>
    </xf>
    <xf numFmtId="2" fontId="12" fillId="0" borderId="19" xfId="0" applyNumberFormat="1" applyFont="1" applyFill="1" applyBorder="1" applyAlignment="1" applyProtection="1">
      <alignment horizontal="center" vertical="top"/>
      <protection/>
    </xf>
    <xf numFmtId="165" fontId="0" fillId="0" borderId="0" xfId="0" applyNumberFormat="1" applyFont="1" applyFill="1" applyBorder="1" applyAlignment="1" applyProtection="1">
      <alignment horizontal="center" vertical="top"/>
      <protection/>
    </xf>
    <xf numFmtId="3" fontId="0" fillId="0" borderId="44" xfId="0" applyNumberFormat="1" applyFont="1" applyFill="1" applyBorder="1" applyAlignment="1" applyProtection="1">
      <alignment horizontal="center" vertical="top" wrapText="1"/>
      <protection/>
    </xf>
    <xf numFmtId="165" fontId="0" fillId="0" borderId="43" xfId="0" applyNumberFormat="1" applyFont="1" applyFill="1" applyBorder="1" applyAlignment="1" applyProtection="1">
      <alignment horizontal="center" vertical="top"/>
      <protection/>
    </xf>
    <xf numFmtId="165" fontId="0" fillId="0" borderId="0" xfId="0" applyNumberFormat="1" applyFont="1" applyFill="1" applyBorder="1" applyAlignment="1" applyProtection="1">
      <alignment vertical="top"/>
      <protection/>
    </xf>
    <xf numFmtId="0" fontId="0" fillId="0" borderId="37" xfId="0" applyNumberFormat="1" applyFont="1" applyFill="1" applyBorder="1" applyAlignment="1" applyProtection="1">
      <alignment vertical="center"/>
      <protection/>
    </xf>
    <xf numFmtId="0" fontId="0" fillId="0" borderId="37" xfId="0" applyNumberFormat="1" applyFont="1" applyFill="1" applyBorder="1" applyAlignment="1" applyProtection="1">
      <alignment horizontal="center" vertical="center"/>
      <protection/>
    </xf>
    <xf numFmtId="2" fontId="12" fillId="0" borderId="18" xfId="0" applyNumberFormat="1" applyFont="1" applyFill="1" applyBorder="1" applyAlignment="1" applyProtection="1">
      <alignment horizontal="center" vertical="top"/>
      <protection/>
    </xf>
    <xf numFmtId="165" fontId="12" fillId="0" borderId="15" xfId="0" applyNumberFormat="1" applyFont="1" applyFill="1" applyBorder="1" applyAlignment="1" applyProtection="1">
      <alignment horizontal="right" vertical="top"/>
      <protection/>
    </xf>
    <xf numFmtId="1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horizontal="center" vertical="center"/>
      <protection/>
    </xf>
    <xf numFmtId="10" fontId="0" fillId="0" borderId="0" xfId="0" applyNumberFormat="1" applyFont="1" applyFill="1" applyBorder="1" applyAlignment="1" applyProtection="1">
      <alignment horizontal="center" vertical="center"/>
      <protection/>
    </xf>
    <xf numFmtId="2" fontId="0" fillId="0" borderId="0" xfId="0" applyNumberFormat="1" applyFont="1" applyFill="1" applyBorder="1" applyAlignment="1" applyProtection="1">
      <alignment horizontal="center" vertical="center"/>
      <protection/>
    </xf>
    <xf numFmtId="3" fontId="0" fillId="0" borderId="0" xfId="0" applyNumberFormat="1" applyFont="1" applyFill="1" applyBorder="1" applyAlignment="1" applyProtection="1">
      <alignment horizontal="center" vertical="center"/>
      <protection/>
    </xf>
    <xf numFmtId="165" fontId="0" fillId="0" borderId="0" xfId="0" applyNumberFormat="1" applyFont="1" applyFill="1" applyBorder="1" applyAlignment="1" applyProtection="1">
      <alignment horizontal="center" vertical="center"/>
      <protection/>
    </xf>
    <xf numFmtId="10" fontId="0" fillId="0" borderId="0" xfId="0" applyNumberFormat="1" applyFont="1" applyFill="1" applyBorder="1" applyAlignment="1" applyProtection="1">
      <alignment vertical="center"/>
      <protection/>
    </xf>
    <xf numFmtId="2" fontId="0" fillId="0" borderId="0" xfId="0" applyNumberFormat="1"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10" fontId="0" fillId="0" borderId="0" xfId="0" applyNumberFormat="1" applyFont="1" applyFill="1" applyBorder="1" applyAlignment="1" applyProtection="1">
      <alignment horizontal="center" vertical="top"/>
      <protection/>
    </xf>
    <xf numFmtId="3" fontId="0" fillId="0" borderId="0" xfId="0" applyNumberFormat="1" applyFont="1" applyFill="1" applyBorder="1" applyAlignment="1" applyProtection="1">
      <alignment horizontal="center" vertical="top"/>
      <protection/>
    </xf>
    <xf numFmtId="0" fontId="12" fillId="0" borderId="15" xfId="0" applyFont="1" applyFill="1" applyBorder="1" applyAlignment="1">
      <alignment/>
    </xf>
    <xf numFmtId="168" fontId="0" fillId="0" borderId="0" xfId="0" applyNumberFormat="1" applyFont="1" applyFill="1" applyBorder="1" applyAlignment="1" applyProtection="1">
      <alignment horizontal="center" vertical="top"/>
      <protection/>
    </xf>
    <xf numFmtId="0" fontId="2" fillId="0" borderId="48" xfId="0" applyNumberFormat="1" applyFont="1" applyFill="1" applyBorder="1" applyAlignment="1" applyProtection="1">
      <alignment horizontal="center" vertical="top"/>
      <protection/>
    </xf>
    <xf numFmtId="168" fontId="2" fillId="0" borderId="48" xfId="0" applyNumberFormat="1" applyFont="1" applyFill="1" applyBorder="1" applyAlignment="1" applyProtection="1">
      <alignment horizontal="center" vertical="top"/>
      <protection/>
    </xf>
    <xf numFmtId="166" fontId="2" fillId="0" borderId="48" xfId="0" applyNumberFormat="1" applyFont="1" applyFill="1" applyBorder="1" applyAlignment="1" applyProtection="1">
      <alignment horizontal="center" vertical="top"/>
      <protection/>
    </xf>
    <xf numFmtId="168" fontId="2" fillId="0" borderId="47" xfId="0" applyNumberFormat="1" applyFont="1" applyFill="1" applyBorder="1" applyAlignment="1" applyProtection="1">
      <alignment horizontal="center" vertical="top"/>
      <protection/>
    </xf>
    <xf numFmtId="166" fontId="2" fillId="0" borderId="49" xfId="0" applyNumberFormat="1" applyFont="1" applyFill="1" applyBorder="1" applyAlignment="1" applyProtection="1">
      <alignment horizontal="center" vertical="top"/>
      <protection/>
    </xf>
    <xf numFmtId="166" fontId="2" fillId="0" borderId="11"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left" vertical="top" indent="3"/>
      <protection/>
    </xf>
    <xf numFmtId="165" fontId="0" fillId="0" borderId="24" xfId="0" applyNumberFormat="1" applyFont="1" applyFill="1" applyBorder="1" applyAlignment="1" applyProtection="1">
      <alignment vertical="top"/>
      <protection/>
    </xf>
    <xf numFmtId="0" fontId="0" fillId="0" borderId="0" xfId="0" applyNumberFormat="1" applyFont="1" applyFill="1" applyBorder="1" applyAlignment="1" applyProtection="1">
      <alignment horizontal="left" vertical="top" indent="4"/>
      <protection/>
    </xf>
    <xf numFmtId="165" fontId="0" fillId="0" borderId="15" xfId="0" applyNumberFormat="1" applyFont="1" applyFill="1" applyBorder="1" applyAlignment="1" applyProtection="1">
      <alignment vertical="top"/>
      <protection/>
    </xf>
    <xf numFmtId="0" fontId="0" fillId="0" borderId="0" xfId="0" applyNumberFormat="1" applyFont="1" applyFill="1" applyBorder="1" applyAlignment="1" applyProtection="1">
      <alignment horizontal="left" vertical="top"/>
      <protection/>
    </xf>
    <xf numFmtId="3" fontId="0" fillId="0" borderId="0" xfId="0" applyNumberFormat="1" applyFont="1" applyFill="1" applyBorder="1" applyAlignment="1" applyProtection="1">
      <alignment horizontal="right" vertical="top"/>
      <protection/>
    </xf>
    <xf numFmtId="166" fontId="0" fillId="0" borderId="0" xfId="0" applyNumberFormat="1" applyFont="1" applyFill="1" applyBorder="1" applyAlignment="1" applyProtection="1">
      <alignment horizontal="right" vertical="top"/>
      <protection/>
    </xf>
    <xf numFmtId="165" fontId="0" fillId="0" borderId="0" xfId="0" applyNumberFormat="1" applyFont="1" applyFill="1" applyBorder="1" applyAlignment="1" applyProtection="1">
      <alignment horizontal="right" vertical="top"/>
      <protection/>
    </xf>
    <xf numFmtId="10" fontId="0" fillId="0" borderId="0" xfId="0" applyNumberFormat="1" applyFont="1" applyFill="1" applyBorder="1" applyAlignment="1" applyProtection="1">
      <alignment horizontal="left" vertical="top"/>
      <protection/>
    </xf>
    <xf numFmtId="0" fontId="0" fillId="0" borderId="0" xfId="0" applyNumberFormat="1" applyFont="1" applyFill="1" applyBorder="1" applyAlignment="1" applyProtection="1">
      <alignment horizontal="center" vertical="center" wrapText="1"/>
      <protection/>
    </xf>
    <xf numFmtId="49" fontId="0" fillId="0" borderId="0" xfId="0" applyNumberFormat="1" applyFont="1" applyFill="1" applyBorder="1" applyAlignment="1" applyProtection="1">
      <alignment horizontal="center" vertical="center"/>
      <protection/>
    </xf>
    <xf numFmtId="10" fontId="0" fillId="0" borderId="0" xfId="0" applyNumberFormat="1" applyFont="1" applyFill="1" applyBorder="1" applyAlignment="1" applyProtection="1">
      <alignment horizontal="center" vertical="center" wrapText="1"/>
      <protection/>
    </xf>
    <xf numFmtId="10" fontId="0" fillId="0" borderId="15" xfId="0" applyNumberFormat="1" applyFont="1" applyFill="1" applyBorder="1" applyAlignment="1" applyProtection="1">
      <alignment vertical="top"/>
      <protection/>
    </xf>
    <xf numFmtId="0" fontId="0" fillId="0" borderId="0" xfId="0" applyNumberFormat="1" applyFont="1" applyFill="1" applyBorder="1" applyAlignment="1" applyProtection="1">
      <alignment horizontal="left" vertical="top" indent="14"/>
      <protection/>
    </xf>
    <xf numFmtId="3" fontId="0" fillId="0" borderId="24" xfId="0" applyNumberFormat="1" applyFont="1" applyFill="1" applyBorder="1" applyAlignment="1" applyProtection="1">
      <alignment vertical="top"/>
      <protection/>
    </xf>
    <xf numFmtId="10" fontId="0" fillId="0" borderId="24" xfId="0" applyNumberFormat="1" applyFont="1" applyFill="1" applyBorder="1" applyAlignment="1" applyProtection="1">
      <alignment vertical="top"/>
      <protection/>
    </xf>
    <xf numFmtId="165" fontId="0" fillId="0" borderId="15" xfId="0" applyNumberFormat="1" applyFont="1" applyFill="1" applyBorder="1" applyAlignment="1" applyProtection="1">
      <alignment horizontal="right" vertical="top"/>
      <protection/>
    </xf>
    <xf numFmtId="165" fontId="0" fillId="0" borderId="15" xfId="0" applyNumberFormat="1" applyFont="1" applyFill="1" applyBorder="1" applyAlignment="1" applyProtection="1">
      <alignment vertical="center"/>
      <protection/>
    </xf>
    <xf numFmtId="165" fontId="0" fillId="0" borderId="0" xfId="0" applyNumberFormat="1" applyFont="1" applyFill="1" applyBorder="1" applyAlignment="1" applyProtection="1">
      <alignment vertical="center"/>
      <protection/>
    </xf>
    <xf numFmtId="10" fontId="0"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left" vertical="top" indent="3"/>
      <protection/>
    </xf>
    <xf numFmtId="3" fontId="0" fillId="0" borderId="15" xfId="0" applyNumberFormat="1" applyFont="1" applyFill="1" applyBorder="1" applyAlignment="1" applyProtection="1">
      <alignment vertical="center"/>
      <protection/>
    </xf>
    <xf numFmtId="10" fontId="0" fillId="0" borderId="15" xfId="0" applyNumberFormat="1" applyFont="1" applyFill="1" applyBorder="1" applyAlignment="1" applyProtection="1">
      <alignment horizontal="right" vertical="center"/>
      <protection/>
    </xf>
    <xf numFmtId="3" fontId="0" fillId="0" borderId="24" xfId="0" applyNumberFormat="1" applyFont="1" applyFill="1" applyBorder="1" applyAlignment="1" applyProtection="1">
      <alignment vertical="center"/>
      <protection/>
    </xf>
    <xf numFmtId="10" fontId="0" fillId="0" borderId="24" xfId="0" applyNumberFormat="1" applyFont="1" applyFill="1" applyBorder="1" applyAlignment="1" applyProtection="1">
      <alignment vertical="center"/>
      <protection/>
    </xf>
    <xf numFmtId="165" fontId="0" fillId="0" borderId="24" xfId="0" applyNumberFormat="1" applyFont="1" applyFill="1" applyBorder="1" applyAlignment="1" applyProtection="1">
      <alignment vertical="center"/>
      <protection/>
    </xf>
    <xf numFmtId="10" fontId="0" fillId="0" borderId="24" xfId="0" applyNumberFormat="1" applyFont="1" applyFill="1" applyBorder="1" applyAlignment="1" applyProtection="1">
      <alignment horizontal="right" vertical="center"/>
      <protection/>
    </xf>
    <xf numFmtId="0" fontId="0" fillId="0" borderId="0" xfId="0" applyNumberFormat="1" applyFont="1" applyFill="1" applyBorder="1" applyAlignment="1" applyProtection="1">
      <alignment horizontal="right" vertical="center"/>
      <protection/>
    </xf>
    <xf numFmtId="165" fontId="0"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left" vertical="top"/>
      <protection/>
    </xf>
    <xf numFmtId="0" fontId="2" fillId="0" borderId="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left" vertical="top" indent="1"/>
      <protection/>
    </xf>
    <xf numFmtId="3" fontId="2" fillId="0" borderId="0" xfId="0" applyNumberFormat="1" applyFont="1" applyFill="1" applyBorder="1" applyAlignment="1" applyProtection="1">
      <alignment vertical="top"/>
      <protection/>
    </xf>
    <xf numFmtId="10" fontId="2" fillId="0" borderId="0" xfId="0" applyNumberFormat="1" applyFont="1" applyFill="1" applyBorder="1" applyAlignment="1" applyProtection="1">
      <alignment vertical="top"/>
      <protection/>
    </xf>
    <xf numFmtId="165" fontId="2"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horizontal="right" vertical="top"/>
      <protection/>
    </xf>
    <xf numFmtId="165" fontId="2" fillId="0" borderId="0" xfId="0" applyNumberFormat="1" applyFont="1" applyFill="1" applyBorder="1" applyAlignment="1" applyProtection="1">
      <alignment horizontal="right" vertical="top"/>
      <protection/>
    </xf>
    <xf numFmtId="10" fontId="2" fillId="0" borderId="0" xfId="0" applyNumberFormat="1" applyFont="1" applyFill="1" applyBorder="1" applyAlignment="1" applyProtection="1">
      <alignment horizontal="right" vertical="center"/>
      <protection/>
    </xf>
    <xf numFmtId="0" fontId="2" fillId="0" borderId="43" xfId="0" applyNumberFormat="1" applyFont="1" applyFill="1" applyBorder="1" applyAlignment="1" applyProtection="1">
      <alignment horizontal="left" vertical="top" indent="3"/>
      <protection/>
    </xf>
    <xf numFmtId="3" fontId="2" fillId="0" borderId="43" xfId="0" applyNumberFormat="1" applyFont="1" applyFill="1" applyBorder="1" applyAlignment="1" applyProtection="1">
      <alignment vertical="top"/>
      <protection/>
    </xf>
    <xf numFmtId="10" fontId="2" fillId="0" borderId="43" xfId="0" applyNumberFormat="1" applyFont="1" applyFill="1" applyBorder="1" applyAlignment="1" applyProtection="1">
      <alignment vertical="top"/>
      <protection/>
    </xf>
    <xf numFmtId="165" fontId="2" fillId="0" borderId="43" xfId="0" applyNumberFormat="1" applyFont="1" applyFill="1" applyBorder="1" applyAlignment="1" applyProtection="1">
      <alignment vertical="top"/>
      <protection/>
    </xf>
    <xf numFmtId="0" fontId="2" fillId="0" borderId="43" xfId="0" applyNumberFormat="1" applyFont="1" applyFill="1" applyBorder="1" applyAlignment="1" applyProtection="1">
      <alignment horizontal="right" vertical="top"/>
      <protection/>
    </xf>
    <xf numFmtId="165" fontId="2" fillId="0" borderId="43" xfId="0" applyNumberFormat="1" applyFont="1" applyFill="1" applyBorder="1" applyAlignment="1" applyProtection="1">
      <alignment horizontal="right" vertical="top"/>
      <protection/>
    </xf>
    <xf numFmtId="10" fontId="2" fillId="0" borderId="43" xfId="0" applyNumberFormat="1" applyFont="1" applyFill="1" applyBorder="1" applyAlignment="1" applyProtection="1">
      <alignment horizontal="right" vertical="center"/>
      <protection/>
    </xf>
    <xf numFmtId="3" fontId="2" fillId="0" borderId="15" xfId="0" applyNumberFormat="1" applyFont="1" applyFill="1" applyBorder="1" applyAlignment="1" applyProtection="1">
      <alignment vertical="top"/>
      <protection/>
    </xf>
    <xf numFmtId="10" fontId="2" fillId="0" borderId="15" xfId="0" applyNumberFormat="1" applyFont="1" applyFill="1" applyBorder="1" applyAlignment="1" applyProtection="1">
      <alignment vertical="top"/>
      <protection/>
    </xf>
    <xf numFmtId="165" fontId="2" fillId="0" borderId="15" xfId="0" applyNumberFormat="1" applyFont="1" applyFill="1" applyBorder="1" applyAlignment="1" applyProtection="1">
      <alignment vertical="top"/>
      <protection/>
    </xf>
    <xf numFmtId="0" fontId="2" fillId="0" borderId="15" xfId="0" applyNumberFormat="1" applyFont="1" applyFill="1" applyBorder="1" applyAlignment="1" applyProtection="1">
      <alignment horizontal="right" vertical="top"/>
      <protection/>
    </xf>
    <xf numFmtId="165" fontId="2" fillId="0" borderId="15" xfId="0" applyNumberFormat="1" applyFont="1" applyFill="1" applyBorder="1" applyAlignment="1" applyProtection="1">
      <alignment horizontal="right" vertical="top"/>
      <protection/>
    </xf>
    <xf numFmtId="10" fontId="2" fillId="0" borderId="15"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left" vertical="top" indent="14"/>
      <protection/>
    </xf>
    <xf numFmtId="0" fontId="2" fillId="0" borderId="24" xfId="0" applyNumberFormat="1" applyFont="1" applyFill="1" applyBorder="1" applyAlignment="1" applyProtection="1">
      <alignment horizontal="right" vertical="top"/>
      <protection/>
    </xf>
    <xf numFmtId="0" fontId="0" fillId="0" borderId="16" xfId="0" applyNumberFormat="1" applyFont="1" applyFill="1" applyBorder="1" applyAlignment="1" applyProtection="1">
      <alignment horizontal="left" vertical="top"/>
      <protection/>
    </xf>
    <xf numFmtId="0" fontId="0" fillId="0" borderId="23" xfId="0" applyNumberFormat="1" applyFont="1" applyFill="1" applyBorder="1" applyAlignment="1" applyProtection="1">
      <alignment vertical="top"/>
      <protection/>
    </xf>
    <xf numFmtId="0" fontId="0" fillId="0" borderId="24" xfId="0" applyNumberFormat="1" applyFont="1" applyFill="1" applyBorder="1" applyAlignment="1" applyProtection="1">
      <alignment vertical="top"/>
      <protection/>
    </xf>
    <xf numFmtId="0" fontId="0" fillId="0" borderId="34" xfId="0" applyNumberFormat="1" applyFont="1" applyFill="1" applyBorder="1" applyAlignment="1" applyProtection="1">
      <alignment vertical="top"/>
      <protection/>
    </xf>
    <xf numFmtId="0" fontId="0" fillId="0" borderId="33" xfId="0" applyNumberFormat="1" applyFont="1" applyFill="1" applyBorder="1" applyAlignment="1" applyProtection="1">
      <alignment vertical="top"/>
      <protection/>
    </xf>
    <xf numFmtId="0" fontId="0" fillId="0" borderId="16" xfId="0" applyNumberFormat="1" applyFont="1" applyFill="1" applyBorder="1" applyAlignment="1" applyProtection="1">
      <alignment horizontal="left" vertical="top" indent="2"/>
      <protection/>
    </xf>
    <xf numFmtId="165" fontId="0" fillId="0" borderId="19" xfId="0" applyNumberFormat="1" applyFont="1" applyFill="1" applyBorder="1" applyAlignment="1" applyProtection="1">
      <alignment vertical="top"/>
      <protection/>
    </xf>
    <xf numFmtId="165" fontId="0" fillId="0" borderId="16" xfId="0" applyNumberFormat="1" applyFont="1" applyFill="1" applyBorder="1" applyAlignment="1" applyProtection="1">
      <alignment vertical="top"/>
      <protection/>
    </xf>
    <xf numFmtId="165" fontId="0" fillId="0" borderId="18" xfId="0" applyNumberFormat="1" applyFont="1" applyFill="1" applyBorder="1" applyAlignment="1" applyProtection="1">
      <alignment vertical="top"/>
      <protection/>
    </xf>
    <xf numFmtId="0" fontId="0" fillId="0" borderId="18" xfId="0" applyNumberFormat="1" applyFont="1" applyFill="1" applyBorder="1" applyAlignment="1" applyProtection="1">
      <alignment horizontal="left" vertical="top" indent="12"/>
      <protection/>
    </xf>
    <xf numFmtId="165" fontId="0" fillId="0" borderId="20" xfId="0" applyNumberFormat="1" applyFont="1" applyFill="1" applyBorder="1" applyAlignment="1" applyProtection="1">
      <alignment vertical="top"/>
      <protection/>
    </xf>
    <xf numFmtId="165" fontId="0" fillId="0" borderId="50" xfId="0" applyNumberFormat="1" applyFont="1" applyFill="1" applyBorder="1" applyAlignment="1" applyProtection="1">
      <alignment vertical="top"/>
      <protection/>
    </xf>
    <xf numFmtId="0" fontId="0" fillId="0" borderId="33" xfId="0" applyNumberFormat="1" applyFont="1" applyFill="1" applyBorder="1" applyAlignment="1" applyProtection="1">
      <alignment horizontal="left" vertical="top"/>
      <protection/>
    </xf>
    <xf numFmtId="0" fontId="0" fillId="0" borderId="50" xfId="0" applyNumberFormat="1" applyFont="1" applyFill="1" applyBorder="1" applyAlignment="1" applyProtection="1">
      <alignment horizontal="center" vertical="center"/>
      <protection/>
    </xf>
    <xf numFmtId="0" fontId="0" fillId="0" borderId="24" xfId="0" applyNumberFormat="1" applyFont="1" applyFill="1" applyBorder="1" applyAlignment="1" applyProtection="1">
      <alignment horizontal="center" vertical="center"/>
      <protection/>
    </xf>
    <xf numFmtId="0" fontId="0" fillId="0" borderId="34"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33"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165" fontId="0" fillId="0" borderId="17" xfId="0" applyNumberFormat="1" applyFont="1" applyFill="1" applyBorder="1" applyAlignment="1" applyProtection="1">
      <alignment vertical="top"/>
      <protection/>
    </xf>
    <xf numFmtId="0" fontId="0" fillId="0" borderId="46" xfId="0" applyNumberFormat="1" applyFont="1" applyFill="1" applyBorder="1" applyAlignment="1" applyProtection="1">
      <alignment horizontal="left" vertical="top"/>
      <protection/>
    </xf>
    <xf numFmtId="9" fontId="0" fillId="0" borderId="44" xfId="0" applyNumberFormat="1" applyFont="1" applyFill="1" applyBorder="1" applyAlignment="1" applyProtection="1">
      <alignment horizontal="right" vertical="top"/>
      <protection/>
    </xf>
    <xf numFmtId="0" fontId="0" fillId="0" borderId="0" xfId="0" applyNumberFormat="1" applyFont="1" applyFill="1" applyBorder="1" applyAlignment="1" applyProtection="1">
      <alignment horizontal="left" vertical="center"/>
      <protection/>
    </xf>
    <xf numFmtId="0" fontId="0" fillId="0" borderId="17" xfId="0" applyNumberFormat="1" applyFont="1" applyFill="1" applyBorder="1" applyAlignment="1" applyProtection="1">
      <alignment horizontal="center" vertical="center"/>
      <protection/>
    </xf>
    <xf numFmtId="0" fontId="0" fillId="0" borderId="30"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protection/>
    </xf>
    <xf numFmtId="165" fontId="13" fillId="0" borderId="51" xfId="0" applyNumberFormat="1" applyFont="1" applyFill="1" applyBorder="1" applyAlignment="1" applyProtection="1">
      <alignment horizontal="center" vertical="center"/>
      <protection/>
    </xf>
    <xf numFmtId="0" fontId="13" fillId="0" borderId="0" xfId="0" applyNumberFormat="1" applyFont="1" applyFill="1" applyBorder="1" applyAlignment="1" applyProtection="1">
      <alignment horizontal="left" vertical="center"/>
      <protection/>
    </xf>
    <xf numFmtId="0" fontId="13" fillId="0" borderId="17" xfId="0" applyNumberFormat="1" applyFont="1" applyFill="1" applyBorder="1" applyAlignment="1" applyProtection="1">
      <alignment horizontal="center" vertical="center"/>
      <protection/>
    </xf>
    <xf numFmtId="0" fontId="13" fillId="0" borderId="16" xfId="0" applyNumberFormat="1" applyFont="1" applyFill="1" applyBorder="1" applyAlignment="1" applyProtection="1">
      <alignment horizontal="center" vertical="center"/>
      <protection/>
    </xf>
    <xf numFmtId="165" fontId="13" fillId="0" borderId="0" xfId="0" applyNumberFormat="1" applyFont="1" applyFill="1" applyBorder="1" applyAlignment="1" applyProtection="1">
      <alignment horizontal="center" vertical="center"/>
      <protection/>
    </xf>
    <xf numFmtId="0" fontId="13" fillId="0" borderId="22" xfId="0" applyNumberFormat="1" applyFont="1" applyFill="1" applyBorder="1" applyAlignment="1" applyProtection="1">
      <alignment horizontal="left" vertical="center"/>
      <protection/>
    </xf>
    <xf numFmtId="0" fontId="13" fillId="0" borderId="22" xfId="0" applyNumberFormat="1" applyFont="1" applyFill="1" applyBorder="1" applyAlignment="1" applyProtection="1">
      <alignment horizontal="center" vertical="center"/>
      <protection/>
    </xf>
    <xf numFmtId="0" fontId="13" fillId="0" borderId="29" xfId="0" applyNumberFormat="1" applyFont="1" applyFill="1" applyBorder="1" applyAlignment="1" applyProtection="1">
      <alignment horizontal="center" vertical="center"/>
      <protection/>
    </xf>
    <xf numFmtId="0" fontId="13" fillId="0" borderId="30" xfId="0" applyNumberFormat="1" applyFont="1" applyFill="1" applyBorder="1" applyAlignment="1" applyProtection="1">
      <alignment horizontal="center" vertical="center"/>
      <protection/>
    </xf>
    <xf numFmtId="165" fontId="13" fillId="0" borderId="52" xfId="0" applyNumberFormat="1" applyFont="1" applyFill="1" applyBorder="1" applyAlignment="1" applyProtection="1">
      <alignment horizontal="center" vertical="center"/>
      <protection/>
    </xf>
    <xf numFmtId="0" fontId="13" fillId="0" borderId="53" xfId="0" applyNumberFormat="1" applyFont="1" applyFill="1" applyBorder="1" applyAlignment="1" applyProtection="1">
      <alignment horizontal="center" vertical="center"/>
      <protection/>
    </xf>
    <xf numFmtId="0" fontId="13" fillId="0" borderId="52" xfId="0" applyNumberFormat="1" applyFont="1" applyFill="1" applyBorder="1" applyAlignment="1" applyProtection="1">
      <alignment horizontal="center" vertical="center"/>
      <protection/>
    </xf>
    <xf numFmtId="0" fontId="13" fillId="0" borderId="22" xfId="0" applyNumberFormat="1" applyFont="1" applyFill="1" applyBorder="1" applyAlignment="1" applyProtection="1">
      <alignment vertical="center"/>
      <protection/>
    </xf>
    <xf numFmtId="10" fontId="13" fillId="0" borderId="0" xfId="0" applyNumberFormat="1" applyFont="1" applyFill="1" applyBorder="1" applyAlignment="1" applyProtection="1">
      <alignment horizontal="center" vertical="center"/>
      <protection/>
    </xf>
    <xf numFmtId="2" fontId="13" fillId="0" borderId="0" xfId="0" applyNumberFormat="1" applyFont="1" applyFill="1" applyBorder="1" applyAlignment="1" applyProtection="1">
      <alignment horizontal="center" vertical="center"/>
      <protection/>
    </xf>
    <xf numFmtId="2" fontId="13" fillId="0" borderId="0" xfId="0" applyNumberFormat="1" applyFont="1" applyBorder="1" applyAlignment="1">
      <alignment horizontal="center" vertical="center"/>
    </xf>
    <xf numFmtId="3" fontId="13" fillId="0" borderId="19" xfId="0" applyNumberFormat="1" applyFont="1" applyFill="1" applyBorder="1" applyAlignment="1" applyProtection="1">
      <alignment horizontal="center" vertical="center"/>
      <protection/>
    </xf>
    <xf numFmtId="0" fontId="13" fillId="0" borderId="0" xfId="0" applyNumberFormat="1" applyFont="1" applyFill="1" applyBorder="1" applyAlignment="1" applyProtection="1">
      <alignment vertical="center"/>
      <protection/>
    </xf>
    <xf numFmtId="3" fontId="13" fillId="0" borderId="54" xfId="0" applyNumberFormat="1" applyFont="1" applyFill="1" applyBorder="1" applyAlignment="1" applyProtection="1">
      <alignment horizontal="center" vertical="center"/>
      <protection/>
    </xf>
    <xf numFmtId="0" fontId="13" fillId="0" borderId="15" xfId="0" applyNumberFormat="1" applyFont="1" applyFill="1" applyBorder="1" applyAlignment="1" applyProtection="1">
      <alignment horizontal="left" vertical="center"/>
      <protection/>
    </xf>
    <xf numFmtId="2" fontId="13" fillId="0" borderId="21" xfId="0" applyNumberFormat="1" applyFont="1" applyFill="1" applyBorder="1" applyAlignment="1" applyProtection="1">
      <alignment horizontal="center" vertical="center"/>
      <protection/>
    </xf>
    <xf numFmtId="0" fontId="13" fillId="0" borderId="20" xfId="0" applyNumberFormat="1" applyFont="1" applyFill="1" applyBorder="1" applyAlignment="1" applyProtection="1">
      <alignment horizontal="center" vertical="center"/>
      <protection/>
    </xf>
    <xf numFmtId="2" fontId="13" fillId="0" borderId="15" xfId="0" applyNumberFormat="1" applyFont="1" applyBorder="1" applyAlignment="1">
      <alignment horizontal="center" vertical="center"/>
    </xf>
    <xf numFmtId="0" fontId="13" fillId="0" borderId="21" xfId="0" applyNumberFormat="1" applyFont="1" applyFill="1" applyBorder="1" applyAlignment="1" applyProtection="1">
      <alignment horizontal="center" vertical="center"/>
      <protection/>
    </xf>
    <xf numFmtId="0" fontId="13" fillId="0" borderId="18" xfId="0" applyNumberFormat="1" applyFont="1" applyFill="1" applyBorder="1" applyAlignment="1" applyProtection="1">
      <alignment horizontal="center" vertical="center"/>
      <protection/>
    </xf>
    <xf numFmtId="3" fontId="13" fillId="0" borderId="20" xfId="0" applyNumberFormat="1" applyFont="1" applyFill="1" applyBorder="1" applyAlignment="1" applyProtection="1">
      <alignment horizontal="center" vertical="center"/>
      <protection/>
    </xf>
    <xf numFmtId="165" fontId="13" fillId="0" borderId="15" xfId="0" applyNumberFormat="1" applyFont="1" applyFill="1" applyBorder="1" applyAlignment="1" applyProtection="1">
      <alignment horizontal="center" vertical="center"/>
      <protection/>
    </xf>
    <xf numFmtId="0" fontId="13" fillId="0" borderId="55" xfId="0" applyNumberFormat="1" applyFont="1" applyFill="1" applyBorder="1" applyAlignment="1" applyProtection="1">
      <alignment horizontal="center" vertical="center"/>
      <protection/>
    </xf>
    <xf numFmtId="0" fontId="13" fillId="0" borderId="56" xfId="0" applyNumberFormat="1" applyFont="1" applyFill="1" applyBorder="1" applyAlignment="1" applyProtection="1">
      <alignment horizontal="center" vertical="center"/>
      <protection/>
    </xf>
    <xf numFmtId="165" fontId="13" fillId="0" borderId="56" xfId="0" applyNumberFormat="1" applyFont="1" applyFill="1" applyBorder="1" applyAlignment="1" applyProtection="1">
      <alignment horizontal="center" vertical="center"/>
      <protection/>
    </xf>
    <xf numFmtId="0" fontId="13" fillId="0" borderId="55" xfId="0" applyNumberFormat="1" applyFont="1" applyFill="1" applyBorder="1" applyAlignment="1" applyProtection="1">
      <alignment vertical="center"/>
      <protection/>
    </xf>
    <xf numFmtId="3" fontId="13" fillId="0" borderId="55" xfId="0" applyNumberFormat="1" applyFont="1" applyFill="1" applyBorder="1" applyAlignment="1" applyProtection="1">
      <alignment horizontal="center" vertical="center"/>
      <protection/>
    </xf>
    <xf numFmtId="10" fontId="13" fillId="0" borderId="15" xfId="0" applyNumberFormat="1" applyFont="1" applyFill="1" applyBorder="1" applyAlignment="1" applyProtection="1">
      <alignment horizontal="center" vertical="center"/>
      <protection/>
    </xf>
    <xf numFmtId="3" fontId="0" fillId="0" borderId="30" xfId="0" applyNumberFormat="1" applyFont="1" applyFill="1" applyBorder="1" applyAlignment="1" applyProtection="1">
      <alignment vertical="center"/>
      <protection/>
    </xf>
    <xf numFmtId="0" fontId="0" fillId="0" borderId="38" xfId="0" applyNumberFormat="1" applyFont="1" applyFill="1" applyBorder="1" applyAlignment="1" applyProtection="1">
      <alignment horizontal="center" vertical="center"/>
      <protection/>
    </xf>
    <xf numFmtId="3" fontId="0" fillId="0" borderId="22" xfId="0" applyNumberFormat="1" applyFont="1" applyFill="1" applyBorder="1" applyAlignment="1" applyProtection="1">
      <alignment horizontal="center" vertical="center"/>
      <protection/>
    </xf>
    <xf numFmtId="10" fontId="0" fillId="0" borderId="15" xfId="0" applyNumberFormat="1" applyFont="1" applyFill="1" applyBorder="1" applyAlignment="1" applyProtection="1">
      <alignment horizontal="center" vertical="center"/>
      <protection/>
    </xf>
    <xf numFmtId="3" fontId="12" fillId="0" borderId="37" xfId="0" applyNumberFormat="1" applyFont="1" applyFill="1" applyBorder="1" applyAlignment="1" applyProtection="1">
      <alignment horizontal="center" vertical="top"/>
      <protection/>
    </xf>
    <xf numFmtId="165" fontId="0" fillId="0" borderId="38" xfId="0" applyNumberFormat="1" applyFont="1" applyFill="1" applyBorder="1" applyAlignment="1" applyProtection="1">
      <alignment horizontal="center" vertical="center"/>
      <protection/>
    </xf>
    <xf numFmtId="165" fontId="12" fillId="0" borderId="51" xfId="0" applyNumberFormat="1" applyFont="1" applyFill="1" applyBorder="1" applyAlignment="1" applyProtection="1">
      <alignment horizontal="center" vertical="top"/>
      <protection/>
    </xf>
    <xf numFmtId="165" fontId="13" fillId="0" borderId="0" xfId="0" applyNumberFormat="1" applyFont="1" applyFill="1" applyBorder="1" applyAlignment="1" applyProtection="1">
      <alignment horizontal="right" vertical="top"/>
      <protection/>
    </xf>
    <xf numFmtId="0" fontId="0" fillId="0" borderId="0"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165" fontId="12" fillId="0" borderId="28" xfId="0" applyNumberFormat="1" applyFont="1" applyFill="1" applyBorder="1" applyAlignment="1" applyProtection="1">
      <alignment horizontal="center" vertical="top"/>
      <protection/>
    </xf>
    <xf numFmtId="2" fontId="0" fillId="0" borderId="17" xfId="0" applyNumberFormat="1" applyFont="1" applyFill="1" applyBorder="1" applyAlignment="1" applyProtection="1">
      <alignment horizontal="center" vertical="center"/>
      <protection/>
    </xf>
    <xf numFmtId="0" fontId="12" fillId="0" borderId="31" xfId="0" applyNumberFormat="1" applyFont="1" applyFill="1" applyBorder="1" applyAlignment="1" applyProtection="1">
      <alignment horizontal="center" vertical="top"/>
      <protection/>
    </xf>
    <xf numFmtId="165" fontId="12" fillId="0" borderId="38" xfId="0" applyNumberFormat="1" applyFont="1" applyFill="1" applyBorder="1" applyAlignment="1" applyProtection="1">
      <alignment horizontal="center" vertical="top"/>
      <protection/>
    </xf>
    <xf numFmtId="0" fontId="0" fillId="0" borderId="15" xfId="0" applyNumberFormat="1" applyFont="1" applyFill="1" applyBorder="1" applyAlignment="1" applyProtection="1">
      <alignment horizontal="left" vertical="top"/>
      <protection/>
    </xf>
    <xf numFmtId="165" fontId="13" fillId="0" borderId="0" xfId="0" applyNumberFormat="1" applyFont="1" applyFill="1" applyBorder="1" applyAlignment="1" applyProtection="1">
      <alignment horizontal="right" vertical="center"/>
      <protection/>
    </xf>
    <xf numFmtId="165" fontId="13" fillId="0" borderId="37" xfId="0" applyNumberFormat="1" applyFont="1" applyFill="1" applyBorder="1" applyAlignment="1" applyProtection="1">
      <alignment horizontal="right" vertical="top"/>
      <protection/>
    </xf>
    <xf numFmtId="165" fontId="12" fillId="0" borderId="37" xfId="0" applyNumberFormat="1" applyFont="1" applyFill="1" applyBorder="1" applyAlignment="1" applyProtection="1">
      <alignment horizontal="right" vertical="top"/>
      <protection/>
    </xf>
    <xf numFmtId="0" fontId="0" fillId="0" borderId="28" xfId="0" applyNumberFormat="1" applyFont="1" applyFill="1" applyBorder="1" applyAlignment="1" applyProtection="1">
      <alignment horizontal="center" vertical="center"/>
      <protection/>
    </xf>
    <xf numFmtId="3" fontId="0" fillId="0" borderId="30" xfId="0" applyNumberFormat="1" applyFont="1" applyFill="1" applyBorder="1" applyAlignment="1" applyProtection="1">
      <alignment horizontal="center" vertical="center"/>
      <protection/>
    </xf>
    <xf numFmtId="2" fontId="12" fillId="0" borderId="34" xfId="0" applyNumberFormat="1" applyFont="1" applyFill="1" applyBorder="1" applyAlignment="1" applyProtection="1">
      <alignment horizontal="center" vertical="top"/>
      <protection/>
    </xf>
    <xf numFmtId="0" fontId="0" fillId="0" borderId="37" xfId="0" applyNumberFormat="1" applyFont="1" applyFill="1" applyBorder="1" applyAlignment="1" applyProtection="1">
      <alignment horizontal="center"/>
      <protection/>
    </xf>
    <xf numFmtId="0" fontId="0" fillId="0" borderId="15" xfId="0" applyNumberFormat="1" applyFont="1" applyFill="1" applyBorder="1" applyAlignment="1" applyProtection="1">
      <alignment horizontal="left" vertical="center"/>
      <protection/>
    </xf>
    <xf numFmtId="0" fontId="0" fillId="0" borderId="28" xfId="0" applyNumberFormat="1" applyFont="1" applyFill="1" applyBorder="1" applyAlignment="1" applyProtection="1">
      <alignment horizontal="center"/>
      <protection/>
    </xf>
    <xf numFmtId="0" fontId="0" fillId="0" borderId="28" xfId="0" applyNumberFormat="1" applyFont="1" applyFill="1" applyBorder="1" applyAlignment="1" applyProtection="1">
      <alignment vertical="center"/>
      <protection/>
    </xf>
    <xf numFmtId="0" fontId="0" fillId="0" borderId="24" xfId="0" applyNumberFormat="1" applyFont="1" applyFill="1" applyBorder="1" applyAlignment="1" applyProtection="1">
      <alignment vertical="center"/>
      <protection/>
    </xf>
    <xf numFmtId="10" fontId="0" fillId="0" borderId="0" xfId="0" applyNumberFormat="1" applyFont="1" applyFill="1" applyBorder="1" applyAlignment="1" applyProtection="1">
      <alignment horizontal="center"/>
      <protection/>
    </xf>
    <xf numFmtId="3" fontId="12" fillId="0" borderId="37" xfId="0" applyNumberFormat="1" applyFont="1" applyFill="1" applyBorder="1" applyAlignment="1" applyProtection="1">
      <alignment horizontal="center"/>
      <protection/>
    </xf>
    <xf numFmtId="2" fontId="0" fillId="0" borderId="24" xfId="0" applyNumberFormat="1" applyFont="1" applyFill="1" applyBorder="1" applyAlignment="1" applyProtection="1">
      <alignment vertical="center"/>
      <protection/>
    </xf>
    <xf numFmtId="165" fontId="0" fillId="0" borderId="24" xfId="0" applyNumberFormat="1" applyFont="1" applyFill="1" applyBorder="1" applyAlignment="1" applyProtection="1">
      <alignment horizontal="center" vertical="center"/>
      <protection/>
    </xf>
    <xf numFmtId="165" fontId="12" fillId="0" borderId="28" xfId="0" applyNumberFormat="1" applyFont="1" applyFill="1" applyBorder="1" applyAlignment="1" applyProtection="1">
      <alignment horizontal="center" vertical="center"/>
      <protection/>
    </xf>
    <xf numFmtId="165" fontId="12" fillId="0" borderId="36" xfId="0" applyNumberFormat="1" applyFont="1" applyFill="1" applyBorder="1" applyAlignment="1" applyProtection="1">
      <alignment horizontal="center" vertical="center"/>
      <protection/>
    </xf>
    <xf numFmtId="165" fontId="13" fillId="0" borderId="36" xfId="0" applyNumberFormat="1" applyFont="1" applyFill="1" applyBorder="1" applyAlignment="1" applyProtection="1">
      <alignment horizontal="center" vertical="center"/>
      <protection/>
    </xf>
    <xf numFmtId="165" fontId="13" fillId="0" borderId="37" xfId="0" applyNumberFormat="1" applyFont="1" applyFill="1" applyBorder="1" applyAlignment="1" applyProtection="1">
      <alignment horizontal="center" vertical="center"/>
      <protection/>
    </xf>
    <xf numFmtId="165" fontId="13" fillId="0" borderId="28" xfId="0" applyNumberFormat="1" applyFont="1" applyFill="1" applyBorder="1" applyAlignment="1" applyProtection="1">
      <alignment horizontal="center" vertical="center"/>
      <protection/>
    </xf>
    <xf numFmtId="3" fontId="12" fillId="0" borderId="28" xfId="0" applyNumberFormat="1" applyFont="1" applyFill="1" applyBorder="1" applyAlignment="1" applyProtection="1">
      <alignment horizontal="center" vertical="center"/>
      <protection/>
    </xf>
    <xf numFmtId="3" fontId="12" fillId="0" borderId="22" xfId="0" applyNumberFormat="1" applyFont="1" applyFill="1" applyBorder="1" applyAlignment="1" applyProtection="1">
      <alignment horizontal="center" vertical="center" wrapText="1"/>
      <protection/>
    </xf>
    <xf numFmtId="165" fontId="12" fillId="0" borderId="22" xfId="0" applyNumberFormat="1" applyFont="1" applyFill="1" applyBorder="1" applyAlignment="1" applyProtection="1">
      <alignment horizontal="center" vertical="center" wrapText="1"/>
      <protection/>
    </xf>
    <xf numFmtId="3" fontId="12" fillId="0" borderId="0" xfId="42" applyNumberFormat="1" applyFont="1" applyFill="1" applyBorder="1" applyAlignment="1">
      <alignment horizontal="center"/>
    </xf>
    <xf numFmtId="41" fontId="12" fillId="0" borderId="35" xfId="42" applyNumberFormat="1" applyFont="1" applyFill="1" applyBorder="1" applyAlignment="1">
      <alignment/>
    </xf>
    <xf numFmtId="0" fontId="12" fillId="0" borderId="57" xfId="0" applyNumberFormat="1" applyFont="1" applyFill="1" applyBorder="1" applyAlignment="1" applyProtection="1">
      <alignment horizontal="center" vertical="center"/>
      <protection/>
    </xf>
    <xf numFmtId="41" fontId="12" fillId="0" borderId="35" xfId="0" applyNumberFormat="1" applyFont="1" applyFill="1" applyBorder="1" applyAlignment="1">
      <alignment/>
    </xf>
    <xf numFmtId="0" fontId="0" fillId="0" borderId="0" xfId="0" applyFont="1" applyFill="1" applyBorder="1" applyAlignment="1">
      <alignment/>
    </xf>
    <xf numFmtId="0" fontId="12" fillId="0" borderId="35" xfId="0" applyFont="1" applyFill="1" applyBorder="1" applyAlignment="1">
      <alignment/>
    </xf>
    <xf numFmtId="3" fontId="12" fillId="0" borderId="35" xfId="0" applyNumberFormat="1" applyFont="1" applyFill="1" applyBorder="1" applyAlignment="1">
      <alignment/>
    </xf>
    <xf numFmtId="2" fontId="12" fillId="0" borderId="57" xfId="0" applyNumberFormat="1" applyFont="1" applyFill="1" applyBorder="1" applyAlignment="1" applyProtection="1">
      <alignment horizontal="center" vertical="center"/>
      <protection/>
    </xf>
    <xf numFmtId="0" fontId="12" fillId="0" borderId="35" xfId="0" applyNumberFormat="1" applyFont="1" applyFill="1" applyBorder="1" applyAlignment="1" applyProtection="1">
      <alignment horizontal="center" vertical="center"/>
      <protection/>
    </xf>
    <xf numFmtId="0" fontId="12" fillId="0" borderId="57" xfId="0" applyFont="1" applyFill="1" applyBorder="1" applyAlignment="1">
      <alignment/>
    </xf>
    <xf numFmtId="0" fontId="12" fillId="0" borderId="0" xfId="0" applyFont="1" applyFill="1" applyBorder="1" applyAlignment="1">
      <alignment horizontal="center"/>
    </xf>
    <xf numFmtId="44" fontId="12" fillId="0" borderId="15" xfId="0" applyNumberFormat="1" applyFont="1" applyFill="1" applyBorder="1" applyAlignment="1">
      <alignment/>
    </xf>
    <xf numFmtId="165" fontId="12" fillId="0" borderId="15" xfId="0" applyNumberFormat="1" applyFont="1" applyFill="1" applyBorder="1" applyAlignment="1">
      <alignment horizontal="center"/>
    </xf>
    <xf numFmtId="169" fontId="12" fillId="0" borderId="0" xfId="0" applyNumberFormat="1" applyFont="1" applyFill="1" applyBorder="1" applyAlignment="1">
      <alignment horizontal="center"/>
    </xf>
    <xf numFmtId="169" fontId="12" fillId="0" borderId="15" xfId="0" applyNumberFormat="1" applyFont="1" applyFill="1" applyBorder="1" applyAlignment="1">
      <alignment horizontal="center"/>
    </xf>
    <xf numFmtId="3" fontId="12" fillId="0" borderId="15" xfId="0" applyNumberFormat="1" applyFont="1" applyFill="1" applyBorder="1" applyAlignment="1">
      <alignment/>
    </xf>
    <xf numFmtId="0" fontId="0" fillId="0" borderId="58" xfId="0" applyNumberFormat="1" applyFont="1" applyFill="1" applyBorder="1" applyAlignment="1" applyProtection="1">
      <alignment horizontal="center" vertical="top"/>
      <protection/>
    </xf>
    <xf numFmtId="2" fontId="12" fillId="0" borderId="0" xfId="0" applyNumberFormat="1" applyFont="1" applyFill="1" applyBorder="1" applyAlignment="1" applyProtection="1">
      <alignment vertical="center"/>
      <protection/>
    </xf>
    <xf numFmtId="3" fontId="12" fillId="0" borderId="0" xfId="0" applyNumberFormat="1" applyFont="1" applyFill="1" applyBorder="1" applyAlignment="1" applyProtection="1">
      <alignment vertical="center"/>
      <protection/>
    </xf>
    <xf numFmtId="165" fontId="12" fillId="0" borderId="0" xfId="0" applyNumberFormat="1" applyFont="1" applyFill="1" applyBorder="1" applyAlignment="1" applyProtection="1">
      <alignment vertical="center"/>
      <protection/>
    </xf>
    <xf numFmtId="167" fontId="12" fillId="0" borderId="0" xfId="0" applyNumberFormat="1" applyFont="1" applyFill="1" applyBorder="1" applyAlignment="1" applyProtection="1">
      <alignment vertical="center"/>
      <protection/>
    </xf>
    <xf numFmtId="0" fontId="12" fillId="0" borderId="0" xfId="0" applyFont="1" applyBorder="1" applyAlignment="1">
      <alignment/>
    </xf>
    <xf numFmtId="0" fontId="12" fillId="0" borderId="15" xfId="0" applyFont="1" applyBorder="1" applyAlignment="1">
      <alignment/>
    </xf>
    <xf numFmtId="3" fontId="12" fillId="0" borderId="15" xfId="42" applyNumberFormat="1" applyFont="1" applyFill="1" applyBorder="1" applyAlignment="1">
      <alignment horizontal="center"/>
    </xf>
    <xf numFmtId="2" fontId="12" fillId="0" borderId="25" xfId="0" applyNumberFormat="1" applyFont="1" applyFill="1" applyBorder="1" applyAlignment="1" applyProtection="1">
      <alignment horizontal="center" vertical="center"/>
      <protection/>
    </xf>
    <xf numFmtId="2" fontId="12" fillId="0" borderId="27" xfId="0" applyNumberFormat="1" applyFont="1" applyFill="1" applyBorder="1" applyAlignment="1" applyProtection="1">
      <alignment horizontal="center" vertical="center"/>
      <protection/>
    </xf>
    <xf numFmtId="1" fontId="12" fillId="0" borderId="0" xfId="0" applyNumberFormat="1" applyFont="1" applyAlignment="1">
      <alignment horizontal="center" vertical="center" wrapText="1"/>
    </xf>
    <xf numFmtId="3" fontId="12" fillId="0" borderId="19" xfId="42" applyNumberFormat="1" applyFont="1" applyFill="1" applyBorder="1" applyAlignment="1">
      <alignment horizontal="center"/>
    </xf>
    <xf numFmtId="10" fontId="12" fillId="0" borderId="0" xfId="57" applyNumberFormat="1" applyFont="1" applyAlignment="1">
      <alignment horizontal="center" vertical="center"/>
    </xf>
    <xf numFmtId="1" fontId="12" fillId="0" borderId="0" xfId="0" applyNumberFormat="1" applyFont="1" applyFill="1" applyAlignment="1">
      <alignment horizontal="center" vertical="center" wrapText="1"/>
    </xf>
    <xf numFmtId="1" fontId="12" fillId="0" borderId="0" xfId="0" applyNumberFormat="1" applyFont="1" applyAlignment="1">
      <alignment horizontal="center" vertical="center"/>
    </xf>
    <xf numFmtId="0" fontId="0" fillId="0" borderId="59"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wrapText="1"/>
      <protection/>
    </xf>
    <xf numFmtId="0" fontId="0" fillId="0" borderId="60" xfId="0" applyNumberFormat="1" applyFont="1" applyFill="1" applyBorder="1" applyAlignment="1" applyProtection="1">
      <alignment horizontal="center" vertical="top"/>
      <protection/>
    </xf>
    <xf numFmtId="0" fontId="0" fillId="0" borderId="40" xfId="0" applyNumberFormat="1" applyFont="1" applyFill="1" applyBorder="1" applyAlignment="1" applyProtection="1">
      <alignment horizontal="center" vertical="top"/>
      <protection/>
    </xf>
    <xf numFmtId="0" fontId="0" fillId="0" borderId="40" xfId="0" applyNumberFormat="1" applyFont="1" applyFill="1" applyBorder="1" applyAlignment="1" applyProtection="1">
      <alignment vertical="top"/>
      <protection/>
    </xf>
    <xf numFmtId="0" fontId="0" fillId="0" borderId="61" xfId="0" applyNumberFormat="1" applyFont="1" applyFill="1" applyBorder="1" applyAlignment="1" applyProtection="1">
      <alignment vertical="top"/>
      <protection/>
    </xf>
    <xf numFmtId="3" fontId="0" fillId="0" borderId="62" xfId="0" applyNumberFormat="1" applyFont="1" applyFill="1" applyBorder="1" applyAlignment="1" applyProtection="1">
      <alignment horizontal="center" vertical="top"/>
      <protection/>
    </xf>
    <xf numFmtId="3" fontId="0" fillId="0" borderId="63" xfId="0" applyNumberFormat="1" applyFont="1" applyFill="1" applyBorder="1" applyAlignment="1" applyProtection="1">
      <alignment horizontal="center" vertical="top"/>
      <protection/>
    </xf>
    <xf numFmtId="165" fontId="0" fillId="0" borderId="64" xfId="0" applyNumberFormat="1" applyFont="1" applyFill="1" applyBorder="1" applyAlignment="1" applyProtection="1">
      <alignment horizontal="center" vertical="top"/>
      <protection/>
    </xf>
    <xf numFmtId="0" fontId="0" fillId="0" borderId="64" xfId="0" applyNumberFormat="1" applyFont="1" applyFill="1" applyBorder="1" applyAlignment="1" applyProtection="1">
      <alignment horizontal="center" vertical="top"/>
      <protection/>
    </xf>
    <xf numFmtId="0" fontId="0" fillId="0" borderId="65" xfId="0" applyNumberFormat="1" applyFont="1" applyFill="1" applyBorder="1" applyAlignment="1" applyProtection="1">
      <alignment vertical="top"/>
      <protection/>
    </xf>
    <xf numFmtId="0" fontId="0" fillId="0" borderId="15" xfId="0" applyNumberFormat="1" applyFont="1" applyFill="1" applyBorder="1" applyAlignment="1" applyProtection="1">
      <alignment vertical="top"/>
      <protection/>
    </xf>
    <xf numFmtId="0" fontId="0" fillId="0" borderId="15" xfId="0" applyNumberFormat="1" applyFont="1" applyFill="1" applyBorder="1" applyAlignment="1" applyProtection="1">
      <alignment horizontal="center" vertical="top"/>
      <protection/>
    </xf>
    <xf numFmtId="0" fontId="0" fillId="0" borderId="21" xfId="0" applyNumberFormat="1" applyFont="1" applyFill="1" applyBorder="1" applyAlignment="1" applyProtection="1">
      <alignment horizontal="center" vertical="top"/>
      <protection/>
    </xf>
    <xf numFmtId="3" fontId="0" fillId="0" borderId="58" xfId="0" applyNumberFormat="1" applyFont="1" applyFill="1" applyBorder="1" applyAlignment="1" applyProtection="1">
      <alignment horizontal="center" vertical="top" wrapText="1"/>
      <protection/>
    </xf>
    <xf numFmtId="0" fontId="0" fillId="0" borderId="58" xfId="0" applyNumberFormat="1" applyFont="1" applyFill="1" applyBorder="1" applyAlignment="1" applyProtection="1">
      <alignment horizontal="center" vertical="top" wrapText="1"/>
      <protection/>
    </xf>
    <xf numFmtId="2" fontId="0" fillId="0" borderId="58" xfId="0" applyNumberFormat="1" applyFont="1" applyFill="1" applyBorder="1" applyAlignment="1" applyProtection="1">
      <alignment horizontal="center" vertical="top" wrapText="1"/>
      <protection/>
    </xf>
    <xf numFmtId="165" fontId="0" fillId="0" borderId="66" xfId="0" applyNumberFormat="1" applyFont="1" applyFill="1" applyBorder="1" applyAlignment="1" applyProtection="1">
      <alignment horizontal="center" vertical="top" wrapText="1"/>
      <protection/>
    </xf>
    <xf numFmtId="165" fontId="0" fillId="0" borderId="67" xfId="0" applyNumberFormat="1" applyFont="1" applyFill="1" applyBorder="1" applyAlignment="1" applyProtection="1">
      <alignment horizontal="center" vertical="top" wrapText="1"/>
      <protection/>
    </xf>
    <xf numFmtId="0" fontId="0" fillId="0" borderId="68" xfId="0" applyNumberFormat="1" applyFont="1" applyFill="1" applyBorder="1" applyAlignment="1" applyProtection="1">
      <alignment horizontal="center" vertical="top"/>
      <protection/>
    </xf>
    <xf numFmtId="0" fontId="0" fillId="0" borderId="17" xfId="0" applyNumberFormat="1" applyFont="1" applyFill="1" applyBorder="1" applyAlignment="1" applyProtection="1">
      <alignment horizontal="center" vertical="top"/>
      <protection/>
    </xf>
    <xf numFmtId="0" fontId="0" fillId="0" borderId="69" xfId="0" applyNumberFormat="1" applyFont="1" applyFill="1" applyBorder="1" applyAlignment="1" applyProtection="1">
      <alignment horizontal="center" vertical="top"/>
      <protection/>
    </xf>
    <xf numFmtId="0" fontId="0" fillId="0" borderId="58" xfId="0" applyNumberFormat="1" applyFont="1" applyFill="1" applyBorder="1" applyAlignment="1" applyProtection="1">
      <alignment horizontal="left" vertical="top"/>
      <protection/>
    </xf>
    <xf numFmtId="0" fontId="0" fillId="0" borderId="50" xfId="0" applyNumberFormat="1" applyFont="1" applyFill="1" applyBorder="1" applyAlignment="1" applyProtection="1">
      <alignment horizontal="center" vertical="top"/>
      <protection/>
    </xf>
    <xf numFmtId="3" fontId="0" fillId="0" borderId="70" xfId="0" applyNumberFormat="1" applyFont="1" applyFill="1" applyBorder="1" applyAlignment="1" applyProtection="1">
      <alignment horizontal="center" vertical="top"/>
      <protection/>
    </xf>
    <xf numFmtId="165" fontId="0" fillId="0" borderId="58" xfId="0" applyNumberFormat="1" applyFont="1" applyFill="1" applyBorder="1" applyAlignment="1" applyProtection="1">
      <alignment horizontal="center" vertical="top"/>
      <protection/>
    </xf>
    <xf numFmtId="2" fontId="0" fillId="0" borderId="58" xfId="0" applyNumberFormat="1" applyFont="1" applyFill="1" applyBorder="1" applyAlignment="1" applyProtection="1">
      <alignment horizontal="center" vertical="top"/>
      <protection/>
    </xf>
    <xf numFmtId="165" fontId="0" fillId="0" borderId="66" xfId="0" applyNumberFormat="1" applyFont="1" applyFill="1" applyBorder="1" applyAlignment="1" applyProtection="1">
      <alignment horizontal="center" vertical="top"/>
      <protection/>
    </xf>
    <xf numFmtId="165" fontId="0" fillId="0" borderId="67" xfId="0" applyNumberFormat="1" applyFont="1" applyFill="1" applyBorder="1" applyAlignment="1" applyProtection="1">
      <alignment horizontal="center" vertical="top"/>
      <protection/>
    </xf>
    <xf numFmtId="0" fontId="0" fillId="0" borderId="71" xfId="0" applyNumberFormat="1" applyFont="1" applyFill="1" applyBorder="1" applyAlignment="1" applyProtection="1">
      <alignment horizontal="center" vertical="top"/>
      <protection/>
    </xf>
    <xf numFmtId="0" fontId="0" fillId="0" borderId="24" xfId="0" applyNumberFormat="1" applyFont="1" applyFill="1" applyBorder="1" applyAlignment="1" applyProtection="1">
      <alignment horizontal="left" vertical="top"/>
      <protection/>
    </xf>
    <xf numFmtId="0" fontId="0" fillId="0" borderId="24" xfId="0" applyNumberFormat="1" applyFont="1" applyFill="1" applyBorder="1" applyAlignment="1" applyProtection="1">
      <alignment horizontal="left" vertical="top" wrapText="1"/>
      <protection/>
    </xf>
    <xf numFmtId="0" fontId="0" fillId="0" borderId="33" xfId="0" applyNumberFormat="1" applyFont="1" applyFill="1" applyBorder="1" applyAlignment="1" applyProtection="1">
      <alignment horizontal="center" vertical="top" wrapText="1"/>
      <protection/>
    </xf>
    <xf numFmtId="3" fontId="0" fillId="0" borderId="23" xfId="0" applyNumberFormat="1" applyFont="1" applyFill="1" applyBorder="1" applyAlignment="1" applyProtection="1">
      <alignment horizontal="center" vertical="top" wrapText="1"/>
      <protection/>
    </xf>
    <xf numFmtId="165" fontId="0" fillId="0" borderId="24" xfId="0" applyNumberFormat="1" applyFont="1" applyFill="1" applyBorder="1" applyAlignment="1" applyProtection="1">
      <alignment horizontal="center" vertical="top"/>
      <protection/>
    </xf>
    <xf numFmtId="2" fontId="0" fillId="0" borderId="24" xfId="0" applyNumberFormat="1" applyFont="1" applyFill="1" applyBorder="1" applyAlignment="1" applyProtection="1">
      <alignment horizontal="center" vertical="top"/>
      <protection/>
    </xf>
    <xf numFmtId="165" fontId="0" fillId="0" borderId="34" xfId="0" applyNumberFormat="1" applyFont="1" applyFill="1" applyBorder="1" applyAlignment="1" applyProtection="1">
      <alignment horizontal="center" vertical="top"/>
      <protection/>
    </xf>
    <xf numFmtId="165" fontId="0" fillId="0" borderId="72" xfId="0" applyNumberFormat="1" applyFont="1" applyFill="1" applyBorder="1" applyAlignment="1" applyProtection="1">
      <alignment horizontal="center" vertical="top"/>
      <protection/>
    </xf>
    <xf numFmtId="0" fontId="0" fillId="0" borderId="73"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left" vertical="top" wrapText="1"/>
      <protection/>
    </xf>
    <xf numFmtId="0" fontId="0" fillId="0" borderId="16" xfId="0" applyNumberFormat="1" applyFont="1" applyFill="1" applyBorder="1" applyAlignment="1" applyProtection="1">
      <alignment horizontal="center" vertical="top" wrapText="1"/>
      <protection/>
    </xf>
    <xf numFmtId="2" fontId="0" fillId="0" borderId="43" xfId="0" applyNumberFormat="1" applyFont="1" applyFill="1" applyBorder="1" applyAlignment="1" applyProtection="1">
      <alignment horizontal="center" vertical="top"/>
      <protection/>
    </xf>
    <xf numFmtId="165" fontId="0" fillId="0" borderId="45" xfId="0" applyNumberFormat="1" applyFont="1" applyFill="1" applyBorder="1" applyAlignment="1" applyProtection="1">
      <alignment horizontal="center" vertical="top"/>
      <protection/>
    </xf>
    <xf numFmtId="165" fontId="0" fillId="0" borderId="74" xfId="0" applyNumberFormat="1" applyFont="1" applyFill="1" applyBorder="1" applyAlignment="1" applyProtection="1">
      <alignment horizontal="center" vertical="top"/>
      <protection/>
    </xf>
    <xf numFmtId="0" fontId="0" fillId="24" borderId="0" xfId="0" applyNumberFormat="1" applyFont="1" applyFill="1" applyBorder="1" applyAlignment="1" applyProtection="1">
      <alignment horizontal="left" vertical="top" indent="5"/>
      <protection/>
    </xf>
    <xf numFmtId="0" fontId="0" fillId="24" borderId="16" xfId="0" applyNumberFormat="1" applyFont="1" applyFill="1" applyBorder="1" applyAlignment="1" applyProtection="1">
      <alignment horizontal="center" vertical="top"/>
      <protection/>
    </xf>
    <xf numFmtId="3" fontId="0" fillId="24" borderId="19" xfId="0" applyNumberFormat="1" applyFont="1" applyFill="1" applyBorder="1" applyAlignment="1" applyProtection="1">
      <alignment horizontal="center" vertical="top"/>
      <protection/>
    </xf>
    <xf numFmtId="165" fontId="0" fillId="24" borderId="0" xfId="0" applyNumberFormat="1" applyFont="1" applyFill="1" applyBorder="1" applyAlignment="1" applyProtection="1">
      <alignment horizontal="center" vertical="top"/>
      <protection/>
    </xf>
    <xf numFmtId="2" fontId="0" fillId="24" borderId="0" xfId="0" applyNumberFormat="1" applyFont="1" applyFill="1" applyBorder="1" applyAlignment="1" applyProtection="1">
      <alignment horizontal="center" vertical="top"/>
      <protection/>
    </xf>
    <xf numFmtId="165" fontId="0" fillId="24" borderId="17" xfId="0" applyNumberFormat="1" applyFont="1" applyFill="1" applyBorder="1" applyAlignment="1" applyProtection="1">
      <alignment horizontal="center" vertical="top"/>
      <protection/>
    </xf>
    <xf numFmtId="165" fontId="0" fillId="24" borderId="75" xfId="0" applyNumberFormat="1" applyFont="1" applyFill="1" applyBorder="1" applyAlignment="1" applyProtection="1">
      <alignment horizontal="center" vertical="top"/>
      <protection/>
    </xf>
    <xf numFmtId="3" fontId="0" fillId="0" borderId="70" xfId="0" applyNumberFormat="1" applyFont="1" applyFill="1" applyBorder="1" applyAlignment="1" applyProtection="1">
      <alignment horizontal="center" vertical="top" wrapText="1"/>
      <protection/>
    </xf>
    <xf numFmtId="3" fontId="0" fillId="0" borderId="19" xfId="0" applyNumberFormat="1" applyFont="1" applyFill="1" applyBorder="1" applyAlignment="1" applyProtection="1">
      <alignment horizontal="center" vertical="top" wrapText="1"/>
      <protection/>
    </xf>
    <xf numFmtId="165" fontId="0" fillId="0" borderId="17" xfId="0" applyNumberFormat="1" applyFont="1" applyFill="1" applyBorder="1" applyAlignment="1" applyProtection="1">
      <alignment horizontal="center" vertical="top"/>
      <protection/>
    </xf>
    <xf numFmtId="3" fontId="0" fillId="24" borderId="20" xfId="0" applyNumberFormat="1" applyFont="1" applyFill="1" applyBorder="1" applyAlignment="1" applyProtection="1">
      <alignment horizontal="center" vertical="top"/>
      <protection/>
    </xf>
    <xf numFmtId="165" fontId="0" fillId="24" borderId="15" xfId="0" applyNumberFormat="1" applyFont="1" applyFill="1" applyBorder="1" applyAlignment="1" applyProtection="1">
      <alignment horizontal="center" vertical="top"/>
      <protection/>
    </xf>
    <xf numFmtId="2" fontId="0" fillId="24" borderId="15" xfId="0" applyNumberFormat="1" applyFont="1" applyFill="1" applyBorder="1" applyAlignment="1" applyProtection="1">
      <alignment horizontal="center" vertical="top"/>
      <protection/>
    </xf>
    <xf numFmtId="165" fontId="0" fillId="24" borderId="21" xfId="0" applyNumberFormat="1" applyFont="1" applyFill="1" applyBorder="1" applyAlignment="1" applyProtection="1">
      <alignment horizontal="center" vertical="top"/>
      <protection/>
    </xf>
    <xf numFmtId="165" fontId="0" fillId="24" borderId="76" xfId="0" applyNumberFormat="1" applyFont="1" applyFill="1" applyBorder="1" applyAlignment="1" applyProtection="1">
      <alignment horizontal="center" vertical="top"/>
      <protection/>
    </xf>
    <xf numFmtId="0" fontId="0" fillId="0" borderId="18" xfId="0" applyNumberFormat="1" applyFont="1" applyFill="1" applyBorder="1" applyAlignment="1" applyProtection="1">
      <alignment horizontal="center" vertical="top" wrapText="1"/>
      <protection/>
    </xf>
    <xf numFmtId="0" fontId="0" fillId="0" borderId="58" xfId="0" applyNumberFormat="1" applyFont="1" applyFill="1" applyBorder="1" applyAlignment="1" applyProtection="1">
      <alignment horizontal="left" vertical="top" wrapText="1"/>
      <protection/>
    </xf>
    <xf numFmtId="0" fontId="0" fillId="0" borderId="50" xfId="0" applyNumberFormat="1" applyFont="1" applyFill="1" applyBorder="1" applyAlignment="1" applyProtection="1">
      <alignment horizontal="center" vertical="top" wrapText="1"/>
      <protection/>
    </xf>
    <xf numFmtId="165" fontId="0" fillId="0" borderId="75" xfId="0" applyNumberFormat="1" applyFont="1" applyFill="1" applyBorder="1" applyAlignment="1" applyProtection="1">
      <alignment horizontal="center" vertical="top"/>
      <protection/>
    </xf>
    <xf numFmtId="0" fontId="0" fillId="0" borderId="16" xfId="0" applyNumberFormat="1" applyFont="1" applyFill="1" applyBorder="1" applyAlignment="1" applyProtection="1">
      <alignment horizontal="center" vertical="top"/>
      <protection/>
    </xf>
    <xf numFmtId="0" fontId="0" fillId="24" borderId="15" xfId="0" applyNumberFormat="1" applyFont="1" applyFill="1" applyBorder="1" applyAlignment="1" applyProtection="1">
      <alignment horizontal="left" vertical="top" indent="5"/>
      <protection/>
    </xf>
    <xf numFmtId="0" fontId="0" fillId="24" borderId="18" xfId="0" applyNumberFormat="1" applyFont="1" applyFill="1" applyBorder="1" applyAlignment="1" applyProtection="1">
      <alignment horizontal="center" vertical="top"/>
      <protection/>
    </xf>
    <xf numFmtId="3" fontId="0" fillId="0" borderId="15" xfId="0" applyNumberFormat="1" applyFont="1" applyFill="1" applyBorder="1" applyAlignment="1" applyProtection="1">
      <alignment vertical="top"/>
      <protection/>
    </xf>
    <xf numFmtId="0" fontId="0" fillId="0" borderId="0" xfId="0" applyNumberFormat="1" applyFont="1" applyFill="1" applyBorder="1" applyAlignment="1" applyProtection="1">
      <alignment horizontal="left" vertical="top" indent="8"/>
      <protection/>
    </xf>
    <xf numFmtId="0" fontId="0" fillId="0" borderId="0" xfId="0" applyNumberFormat="1" applyFont="1" applyFill="1" applyBorder="1" applyAlignment="1" applyProtection="1">
      <alignment horizontal="left" vertical="top" indent="7"/>
      <protection/>
    </xf>
    <xf numFmtId="165" fontId="0" fillId="0" borderId="15" xfId="0" applyNumberFormat="1" applyFont="1" applyFill="1" applyBorder="1" applyAlignment="1" applyProtection="1">
      <alignment horizontal="center" vertical="top"/>
      <protection/>
    </xf>
    <xf numFmtId="10" fontId="0" fillId="0" borderId="24" xfId="0" applyNumberFormat="1" applyFont="1" applyFill="1" applyBorder="1" applyAlignment="1" applyProtection="1">
      <alignment horizontal="center" vertical="top"/>
      <protection/>
    </xf>
    <xf numFmtId="0" fontId="0" fillId="0" borderId="24" xfId="0" applyNumberFormat="1" applyFont="1" applyFill="1" applyBorder="1" applyAlignment="1" applyProtection="1">
      <alignment horizontal="center" vertical="top"/>
      <protection/>
    </xf>
    <xf numFmtId="3" fontId="0" fillId="0" borderId="0" xfId="0" applyNumberFormat="1" applyFont="1" applyFill="1" applyBorder="1" applyAlignment="1" applyProtection="1">
      <alignment horizontal="left" vertical="top" indent="2"/>
      <protection/>
    </xf>
    <xf numFmtId="0" fontId="0" fillId="0" borderId="33" xfId="0" applyNumberFormat="1" applyFont="1" applyFill="1" applyBorder="1" applyAlignment="1" applyProtection="1">
      <alignment horizontal="center" vertical="top"/>
      <protection/>
    </xf>
    <xf numFmtId="3" fontId="0" fillId="0" borderId="23" xfId="0" applyNumberFormat="1" applyFont="1" applyFill="1" applyBorder="1" applyAlignment="1" applyProtection="1">
      <alignment horizontal="center" vertical="top"/>
      <protection/>
    </xf>
    <xf numFmtId="3" fontId="0" fillId="0" borderId="20" xfId="0" applyNumberFormat="1" applyFont="1" applyFill="1" applyBorder="1" applyAlignment="1" applyProtection="1">
      <alignment horizontal="center" vertical="top"/>
      <protection/>
    </xf>
    <xf numFmtId="2" fontId="0" fillId="0" borderId="15" xfId="0" applyNumberFormat="1" applyFont="1" applyFill="1" applyBorder="1" applyAlignment="1" applyProtection="1">
      <alignment horizontal="center" vertical="top"/>
      <protection/>
    </xf>
    <xf numFmtId="165" fontId="0" fillId="0" borderId="21" xfId="0" applyNumberFormat="1" applyFont="1" applyFill="1" applyBorder="1" applyAlignment="1" applyProtection="1">
      <alignment horizontal="center" vertical="top"/>
      <protection/>
    </xf>
    <xf numFmtId="165" fontId="0" fillId="0" borderId="76" xfId="0" applyNumberFormat="1" applyFont="1" applyFill="1" applyBorder="1" applyAlignment="1" applyProtection="1">
      <alignment horizontal="center" vertical="top"/>
      <protection/>
    </xf>
    <xf numFmtId="0" fontId="0" fillId="0" borderId="77" xfId="0" applyNumberFormat="1" applyFont="1" applyFill="1" applyBorder="1" applyAlignment="1" applyProtection="1">
      <alignment horizontal="center" vertical="top"/>
      <protection/>
    </xf>
    <xf numFmtId="0" fontId="0" fillId="0" borderId="78" xfId="0" applyNumberFormat="1" applyFont="1" applyFill="1" applyBorder="1" applyAlignment="1" applyProtection="1">
      <alignment horizontal="left" vertical="top"/>
      <protection/>
    </xf>
    <xf numFmtId="0" fontId="0" fillId="0" borderId="78" xfId="0" applyNumberFormat="1" applyFont="1" applyFill="1" applyBorder="1" applyAlignment="1" applyProtection="1">
      <alignment vertical="top"/>
      <protection/>
    </xf>
    <xf numFmtId="0" fontId="0" fillId="0" borderId="79" xfId="0" applyNumberFormat="1" applyFont="1" applyFill="1" applyBorder="1" applyAlignment="1" applyProtection="1">
      <alignment horizontal="center" vertical="top"/>
      <protection/>
    </xf>
    <xf numFmtId="0" fontId="0" fillId="0" borderId="80" xfId="0" applyNumberFormat="1" applyFont="1" applyFill="1" applyBorder="1" applyAlignment="1" applyProtection="1">
      <alignment vertical="top"/>
      <protection/>
    </xf>
    <xf numFmtId="0" fontId="0" fillId="0" borderId="81" xfId="0" applyNumberFormat="1" applyFont="1" applyFill="1" applyBorder="1" applyAlignment="1" applyProtection="1">
      <alignment vertical="top"/>
      <protection/>
    </xf>
    <xf numFmtId="0" fontId="0" fillId="0" borderId="80" xfId="0" applyNumberFormat="1" applyFont="1" applyFill="1" applyBorder="1" applyAlignment="1" applyProtection="1">
      <alignment horizontal="center" vertical="top"/>
      <protection/>
    </xf>
    <xf numFmtId="165" fontId="0" fillId="0" borderId="78" xfId="0" applyNumberFormat="1" applyFont="1" applyFill="1" applyBorder="1" applyAlignment="1" applyProtection="1">
      <alignment horizontal="center" vertical="top"/>
      <protection/>
    </xf>
    <xf numFmtId="2" fontId="0" fillId="0" borderId="78" xfId="0" applyNumberFormat="1" applyFont="1" applyFill="1" applyBorder="1" applyAlignment="1" applyProtection="1">
      <alignment horizontal="center" vertical="top"/>
      <protection/>
    </xf>
    <xf numFmtId="165" fontId="0" fillId="0" borderId="81" xfId="0" applyNumberFormat="1" applyFont="1" applyFill="1" applyBorder="1" applyAlignment="1" applyProtection="1">
      <alignment horizontal="center" vertical="top"/>
      <protection/>
    </xf>
    <xf numFmtId="165" fontId="0" fillId="0" borderId="82" xfId="0" applyNumberFormat="1" applyFont="1" applyFill="1" applyBorder="1" applyAlignment="1" applyProtection="1">
      <alignment horizontal="center" vertical="top"/>
      <protection/>
    </xf>
    <xf numFmtId="168" fontId="2" fillId="0" borderId="0" xfId="0" applyNumberFormat="1" applyFont="1" applyFill="1" applyBorder="1" applyAlignment="1" applyProtection="1">
      <alignment horizontal="center" vertical="top"/>
      <protection/>
    </xf>
    <xf numFmtId="166" fontId="2" fillId="0" borderId="0" xfId="0" applyNumberFormat="1" applyFont="1" applyFill="1" applyBorder="1" applyAlignment="1" applyProtection="1">
      <alignment horizontal="center" vertical="top"/>
      <protection/>
    </xf>
    <xf numFmtId="167" fontId="0" fillId="0" borderId="0" xfId="0" applyNumberFormat="1" applyFont="1" applyFill="1" applyBorder="1" applyAlignment="1" applyProtection="1">
      <alignment horizontal="center" vertical="center"/>
      <protection/>
    </xf>
    <xf numFmtId="3" fontId="0" fillId="0" borderId="58" xfId="0" applyNumberFormat="1" applyFont="1" applyFill="1" applyBorder="1" applyAlignment="1" applyProtection="1">
      <alignment vertical="top"/>
      <protection/>
    </xf>
    <xf numFmtId="10" fontId="0" fillId="0" borderId="15" xfId="0" applyNumberFormat="1" applyFont="1" applyFill="1" applyBorder="1" applyAlignment="1" applyProtection="1">
      <alignment horizontal="center" vertical="top"/>
      <protection/>
    </xf>
    <xf numFmtId="10" fontId="7" fillId="0" borderId="0" xfId="0" applyNumberFormat="1" applyFont="1" applyFill="1" applyBorder="1" applyAlignment="1" applyProtection="1">
      <alignment horizontal="center" vertical="top"/>
      <protection/>
    </xf>
    <xf numFmtId="0" fontId="13" fillId="0" borderId="0" xfId="0" applyNumberFormat="1" applyFont="1" applyFill="1" applyBorder="1" applyAlignment="1" applyProtection="1">
      <alignment horizontal="center" vertical="top"/>
      <protection/>
    </xf>
    <xf numFmtId="3" fontId="2" fillId="0" borderId="0" xfId="0" applyNumberFormat="1" applyFont="1" applyFill="1" applyBorder="1" applyAlignment="1" applyProtection="1">
      <alignment horizontal="right" vertical="top"/>
      <protection/>
    </xf>
    <xf numFmtId="3" fontId="2" fillId="0" borderId="24" xfId="0" applyNumberFormat="1" applyFont="1" applyFill="1" applyBorder="1" applyAlignment="1" applyProtection="1">
      <alignment vertical="top"/>
      <protection/>
    </xf>
    <xf numFmtId="10" fontId="2" fillId="0" borderId="24" xfId="0" applyNumberFormat="1" applyFont="1" applyFill="1" applyBorder="1" applyAlignment="1" applyProtection="1">
      <alignment horizontal="right" vertical="top"/>
      <protection/>
    </xf>
    <xf numFmtId="165" fontId="2" fillId="0" borderId="24" xfId="0" applyNumberFormat="1" applyFont="1" applyFill="1" applyBorder="1" applyAlignment="1" applyProtection="1">
      <alignment horizontal="right" vertical="top"/>
      <protection/>
    </xf>
    <xf numFmtId="165" fontId="2" fillId="0" borderId="24" xfId="0" applyNumberFormat="1" applyFont="1" applyFill="1" applyBorder="1" applyAlignment="1" applyProtection="1">
      <alignment vertical="center"/>
      <protection/>
    </xf>
    <xf numFmtId="165" fontId="2" fillId="0" borderId="15" xfId="0" applyNumberFormat="1" applyFont="1" applyFill="1" applyBorder="1" applyAlignment="1" applyProtection="1">
      <alignment vertical="center"/>
      <protection/>
    </xf>
    <xf numFmtId="0" fontId="18" fillId="0" borderId="0" xfId="0" applyNumberFormat="1" applyFont="1" applyFill="1" applyBorder="1" applyAlignment="1" applyProtection="1">
      <alignment vertical="top"/>
      <protection/>
    </xf>
    <xf numFmtId="167" fontId="0" fillId="0" borderId="0" xfId="0" applyNumberFormat="1" applyFont="1" applyFill="1" applyBorder="1" applyAlignment="1" applyProtection="1">
      <alignment vertical="center"/>
      <protection/>
    </xf>
    <xf numFmtId="3" fontId="12" fillId="0" borderId="15" xfId="0" applyNumberFormat="1" applyFont="1" applyFill="1" applyBorder="1" applyAlignment="1" applyProtection="1">
      <alignment horizontal="right" vertical="top"/>
      <protection/>
    </xf>
    <xf numFmtId="3" fontId="12" fillId="0" borderId="28" xfId="0" applyNumberFormat="1" applyFont="1" applyFill="1" applyBorder="1" applyAlignment="1" applyProtection="1">
      <alignment horizontal="center" vertical="top"/>
      <protection/>
    </xf>
    <xf numFmtId="165" fontId="12" fillId="0" borderId="25" xfId="0" applyNumberFormat="1" applyFont="1" applyFill="1" applyBorder="1" applyAlignment="1" applyProtection="1">
      <alignment horizontal="center"/>
      <protection/>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44" fontId="12" fillId="0" borderId="0" xfId="44" applyFont="1" applyFill="1" applyBorder="1" applyAlignment="1">
      <alignment horizontal="center"/>
    </xf>
    <xf numFmtId="41" fontId="12" fillId="0" borderId="0" xfId="0" applyNumberFormat="1" applyFont="1" applyFill="1" applyBorder="1" applyAlignment="1">
      <alignment horizontal="center"/>
    </xf>
    <xf numFmtId="0" fontId="0" fillId="0" borderId="0" xfId="0" applyNumberFormat="1" applyFont="1" applyFill="1" applyBorder="1" applyAlignment="1" applyProtection="1">
      <alignment horizontal="center" vertical="top" wrapText="1"/>
      <protection/>
    </xf>
    <xf numFmtId="0" fontId="13" fillId="0" borderId="54" xfId="0" applyNumberFormat="1" applyFont="1" applyFill="1" applyBorder="1" applyAlignment="1" applyProtection="1">
      <alignment horizontal="center" vertical="center"/>
      <protection/>
    </xf>
    <xf numFmtId="0" fontId="13" fillId="0" borderId="51" xfId="0" applyNumberFormat="1" applyFont="1" applyFill="1" applyBorder="1" applyAlignment="1" applyProtection="1">
      <alignment horizontal="center" vertical="center"/>
      <protection/>
    </xf>
    <xf numFmtId="0" fontId="13" fillId="0" borderId="19" xfId="0" applyNumberFormat="1" applyFont="1" applyFill="1" applyBorder="1" applyAlignment="1" applyProtection="1">
      <alignment horizontal="center" vertical="center"/>
      <protection/>
    </xf>
    <xf numFmtId="0" fontId="13" fillId="0" borderId="0"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left" vertical="top"/>
      <protection/>
    </xf>
    <xf numFmtId="0" fontId="12" fillId="0" borderId="37" xfId="0" applyNumberFormat="1" applyFont="1" applyFill="1" applyBorder="1" applyAlignment="1" applyProtection="1">
      <alignment horizontal="center" vertical="center"/>
      <protection/>
    </xf>
    <xf numFmtId="0" fontId="12" fillId="0" borderId="27" xfId="0" applyNumberFormat="1" applyFont="1" applyFill="1" applyBorder="1" applyAlignment="1" applyProtection="1">
      <alignment horizontal="center" vertical="center"/>
      <protection/>
    </xf>
    <xf numFmtId="0" fontId="12" fillId="0" borderId="19"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center" vertical="center"/>
      <protection/>
    </xf>
    <xf numFmtId="165" fontId="12" fillId="0" borderId="0" xfId="0" applyNumberFormat="1" applyFont="1" applyFill="1" applyBorder="1" applyAlignment="1" applyProtection="1">
      <alignment horizontal="center" vertical="center"/>
      <protection/>
    </xf>
    <xf numFmtId="165" fontId="12" fillId="0" borderId="37" xfId="0" applyNumberFormat="1" applyFont="1" applyFill="1" applyBorder="1" applyAlignment="1" applyProtection="1">
      <alignment horizontal="center" vertical="center"/>
      <protection/>
    </xf>
    <xf numFmtId="165" fontId="12" fillId="0" borderId="27" xfId="0" applyNumberFormat="1" applyFont="1" applyFill="1" applyBorder="1" applyAlignment="1" applyProtection="1">
      <alignment horizontal="center" vertical="center"/>
      <protection/>
    </xf>
    <xf numFmtId="165" fontId="12" fillId="0" borderId="24" xfId="0" applyNumberFormat="1" applyFont="1" applyFill="1" applyBorder="1" applyAlignment="1" applyProtection="1">
      <alignment horizontal="center" vertical="center"/>
      <protection/>
    </xf>
    <xf numFmtId="165" fontId="12" fillId="0" borderId="37" xfId="0" applyNumberFormat="1" applyFont="1" applyFill="1" applyBorder="1" applyAlignment="1" applyProtection="1">
      <alignment horizontal="center" vertical="top"/>
      <protection/>
    </xf>
    <xf numFmtId="165" fontId="12" fillId="0" borderId="27" xfId="0" applyNumberFormat="1" applyFont="1" applyFill="1" applyBorder="1" applyAlignment="1" applyProtection="1">
      <alignment horizontal="center" vertical="top"/>
      <protection/>
    </xf>
    <xf numFmtId="3" fontId="12" fillId="0" borderId="19" xfId="0" applyNumberFormat="1" applyFont="1" applyFill="1" applyBorder="1" applyAlignment="1" applyProtection="1">
      <alignment horizontal="center" vertical="center"/>
      <protection/>
    </xf>
    <xf numFmtId="3" fontId="12" fillId="0" borderId="0" xfId="0" applyNumberFormat="1" applyFont="1" applyFill="1" applyBorder="1" applyAlignment="1" applyProtection="1">
      <alignment horizontal="center" vertical="center"/>
      <protection/>
    </xf>
    <xf numFmtId="0" fontId="12" fillId="0" borderId="37" xfId="0" applyNumberFormat="1" applyFont="1" applyFill="1" applyBorder="1" applyAlignment="1" applyProtection="1">
      <alignment horizontal="left" vertical="top" indent="1"/>
      <protection/>
    </xf>
    <xf numFmtId="0" fontId="12" fillId="0" borderId="37" xfId="0" applyNumberFormat="1" applyFont="1" applyFill="1" applyBorder="1" applyAlignment="1" applyProtection="1">
      <alignment horizontal="center" vertical="top"/>
      <protection/>
    </xf>
    <xf numFmtId="0" fontId="12" fillId="0" borderId="0" xfId="0" applyNumberFormat="1" applyFont="1" applyFill="1" applyBorder="1" applyAlignment="1" applyProtection="1">
      <alignment horizontal="right" vertical="top"/>
      <protection/>
    </xf>
    <xf numFmtId="0" fontId="1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left" vertical="top"/>
      <protection/>
    </xf>
    <xf numFmtId="167"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left" vertical="top"/>
      <protection/>
    </xf>
    <xf numFmtId="0" fontId="12" fillId="0" borderId="83"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right" vertical="top"/>
      <protection/>
    </xf>
    <xf numFmtId="0" fontId="12" fillId="0" borderId="0" xfId="0" applyNumberFormat="1" applyFont="1" applyFill="1" applyBorder="1" applyAlignment="1" applyProtection="1">
      <alignment horizontal="center" vertical="center" wrapText="1"/>
      <protection/>
    </xf>
    <xf numFmtId="3" fontId="12" fillId="0" borderId="27" xfId="0" applyNumberFormat="1" applyFont="1" applyFill="1" applyBorder="1" applyAlignment="1" applyProtection="1">
      <alignment horizontal="center" vertical="center"/>
      <protection/>
    </xf>
    <xf numFmtId="0" fontId="12" fillId="0" borderId="27"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left" vertical="center" wrapText="1"/>
      <protection/>
    </xf>
    <xf numFmtId="3" fontId="0" fillId="0" borderId="15" xfId="0" applyNumberFormat="1" applyFont="1" applyFill="1" applyBorder="1" applyAlignment="1" applyProtection="1">
      <alignment horizontal="right" vertical="top"/>
      <protection/>
    </xf>
    <xf numFmtId="0" fontId="0" fillId="0" borderId="0" xfId="0" applyNumberFormat="1" applyFont="1" applyFill="1" applyBorder="1" applyAlignment="1" applyProtection="1">
      <alignment horizontal="right" vertical="top"/>
      <protection/>
    </xf>
    <xf numFmtId="0" fontId="0" fillId="0" borderId="0" xfId="0" applyNumberFormat="1" applyFont="1" applyFill="1" applyBorder="1" applyAlignment="1" applyProtection="1">
      <alignment horizontal="left" vertical="top" indent="2"/>
      <protection/>
    </xf>
    <xf numFmtId="3" fontId="0" fillId="0" borderId="24" xfId="0" applyNumberFormat="1" applyFont="1" applyFill="1" applyBorder="1" applyAlignment="1" applyProtection="1">
      <alignment horizontal="right" vertical="top"/>
      <protection/>
    </xf>
    <xf numFmtId="10" fontId="0" fillId="0" borderId="24" xfId="0" applyNumberFormat="1" applyFont="1" applyFill="1" applyBorder="1" applyAlignment="1" applyProtection="1">
      <alignment horizontal="right" vertical="top"/>
      <protection/>
    </xf>
    <xf numFmtId="165" fontId="0" fillId="0" borderId="24" xfId="0" applyNumberFormat="1" applyFont="1" applyFill="1" applyBorder="1" applyAlignment="1" applyProtection="1">
      <alignment horizontal="right" vertical="top"/>
      <protection/>
    </xf>
    <xf numFmtId="0" fontId="0" fillId="0" borderId="24" xfId="0" applyNumberFormat="1" applyFont="1" applyFill="1" applyBorder="1" applyAlignment="1" applyProtection="1">
      <alignment horizontal="right" vertical="top"/>
      <protection/>
    </xf>
    <xf numFmtId="166" fontId="0" fillId="0" borderId="24" xfId="0" applyNumberFormat="1" applyFont="1" applyFill="1" applyBorder="1" applyAlignment="1" applyProtection="1">
      <alignment horizontal="right" vertical="top"/>
      <protection/>
    </xf>
    <xf numFmtId="164" fontId="0" fillId="0" borderId="0" xfId="0" applyNumberFormat="1" applyFont="1" applyFill="1" applyBorder="1" applyAlignment="1" applyProtection="1">
      <alignment horizontal="right" vertical="top"/>
      <protection/>
    </xf>
    <xf numFmtId="164" fontId="0" fillId="0" borderId="24" xfId="0" applyNumberFormat="1" applyFont="1" applyFill="1" applyBorder="1" applyAlignment="1" applyProtection="1">
      <alignment horizontal="right" vertical="top"/>
      <protection/>
    </xf>
    <xf numFmtId="164" fontId="7" fillId="0" borderId="15" xfId="0" applyNumberFormat="1" applyFont="1" applyFill="1" applyBorder="1" applyAlignment="1" applyProtection="1">
      <alignment horizontal="right" vertical="top"/>
      <protection/>
    </xf>
    <xf numFmtId="168" fontId="2" fillId="0" borderId="84" xfId="0" applyNumberFormat="1" applyFont="1" applyFill="1" applyBorder="1" applyAlignment="1" applyProtection="1">
      <alignment horizontal="center" vertical="top"/>
      <protection/>
    </xf>
    <xf numFmtId="0" fontId="2" fillId="0" borderId="11" xfId="0" applyNumberFormat="1" applyFont="1" applyFill="1" applyBorder="1" applyAlignment="1" applyProtection="1">
      <alignment horizontal="right"/>
      <protection/>
    </xf>
    <xf numFmtId="166" fontId="2" fillId="0" borderId="85" xfId="0" applyNumberFormat="1" applyFont="1" applyFill="1" applyBorder="1" applyAlignment="1" applyProtection="1">
      <alignment horizontal="center" vertical="top"/>
      <protection/>
    </xf>
    <xf numFmtId="0" fontId="2" fillId="0" borderId="86" xfId="0" applyNumberFormat="1" applyFont="1" applyFill="1" applyBorder="1" applyAlignment="1" applyProtection="1">
      <alignment horizontal="center" vertical="top"/>
      <protection/>
    </xf>
    <xf numFmtId="3" fontId="12" fillId="0" borderId="0" xfId="0" applyNumberFormat="1" applyFont="1" applyFill="1" applyBorder="1" applyAlignment="1" applyProtection="1">
      <alignment horizontal="center" vertical="center"/>
      <protection/>
    </xf>
    <xf numFmtId="0" fontId="12" fillId="0" borderId="19" xfId="0" applyNumberFormat="1" applyFont="1" applyFill="1" applyBorder="1" applyAlignment="1" applyProtection="1">
      <alignment horizontal="left" vertical="top" indent="2"/>
      <protection/>
    </xf>
    <xf numFmtId="0" fontId="12" fillId="0" borderId="0" xfId="0" applyNumberFormat="1" applyFont="1" applyFill="1" applyBorder="1" applyAlignment="1" applyProtection="1">
      <alignment horizontal="left" vertical="top" indent="2"/>
      <protection/>
    </xf>
    <xf numFmtId="0" fontId="12" fillId="0" borderId="37" xfId="0" applyNumberFormat="1" applyFont="1" applyFill="1" applyBorder="1" applyAlignment="1" applyProtection="1">
      <alignment horizontal="left" vertical="top" indent="1"/>
      <protection/>
    </xf>
    <xf numFmtId="0" fontId="12" fillId="0" borderId="27" xfId="0" applyNumberFormat="1" applyFont="1" applyFill="1" applyBorder="1" applyAlignment="1" applyProtection="1">
      <alignment horizontal="left" vertical="top" indent="1"/>
      <protection/>
    </xf>
    <xf numFmtId="0" fontId="12" fillId="0" borderId="37" xfId="0" applyNumberFormat="1" applyFont="1" applyFill="1" applyBorder="1" applyAlignment="1" applyProtection="1">
      <alignment horizontal="center" vertical="top"/>
      <protection/>
    </xf>
    <xf numFmtId="0" fontId="12" fillId="0" borderId="27" xfId="0" applyNumberFormat="1" applyFont="1" applyFill="1" applyBorder="1" applyAlignment="1" applyProtection="1">
      <alignment horizontal="center" vertical="top"/>
      <protection/>
    </xf>
    <xf numFmtId="168" fontId="2" fillId="0" borderId="86" xfId="0" applyNumberFormat="1" applyFont="1" applyFill="1" applyBorder="1" applyAlignment="1" applyProtection="1">
      <alignment horizontal="center" vertical="top"/>
      <protection/>
    </xf>
    <xf numFmtId="166" fontId="2" fillId="0" borderId="86" xfId="0" applyNumberFormat="1" applyFont="1" applyFill="1" applyBorder="1" applyAlignment="1" applyProtection="1">
      <alignment horizontal="center" vertical="top"/>
      <protection/>
    </xf>
    <xf numFmtId="168" fontId="2" fillId="0" borderId="12" xfId="0" applyNumberFormat="1" applyFont="1" applyFill="1" applyBorder="1" applyAlignment="1" applyProtection="1">
      <alignment horizontal="center" vertical="top" wrapText="1"/>
      <protection/>
    </xf>
    <xf numFmtId="166" fontId="2" fillId="0" borderId="12" xfId="0" applyNumberFormat="1" applyFont="1" applyFill="1" applyBorder="1" applyAlignment="1" applyProtection="1">
      <alignment horizontal="center" vertical="top"/>
      <protection/>
    </xf>
    <xf numFmtId="168" fontId="2" fillId="0" borderId="13" xfId="0" applyNumberFormat="1" applyFont="1" applyFill="1" applyBorder="1" applyAlignment="1" applyProtection="1">
      <alignment horizontal="center" vertical="top"/>
      <protection/>
    </xf>
    <xf numFmtId="166" fontId="2" fillId="0" borderId="13" xfId="0" applyNumberFormat="1" applyFont="1" applyFill="1" applyBorder="1" applyAlignment="1" applyProtection="1">
      <alignment horizontal="center" vertical="top"/>
      <protection/>
    </xf>
    <xf numFmtId="168" fontId="2" fillId="0" borderId="14" xfId="0" applyNumberFormat="1" applyFont="1" applyFill="1" applyBorder="1" applyAlignment="1" applyProtection="1">
      <alignment horizontal="center" vertical="top"/>
      <protection/>
    </xf>
    <xf numFmtId="166" fontId="2" fillId="0" borderId="14" xfId="0" applyNumberFormat="1" applyFont="1" applyFill="1" applyBorder="1" applyAlignment="1" applyProtection="1">
      <alignment horizontal="center" vertical="top"/>
      <protection/>
    </xf>
    <xf numFmtId="3" fontId="0" fillId="0" borderId="0" xfId="0" applyNumberFormat="1" applyFont="1" applyFill="1" applyBorder="1" applyAlignment="1" applyProtection="1">
      <alignment horizontal="left" vertical="top"/>
      <protection/>
    </xf>
    <xf numFmtId="165" fontId="0" fillId="0" borderId="0" xfId="0" applyNumberFormat="1" applyFont="1" applyFill="1" applyBorder="1" applyAlignment="1" applyProtection="1">
      <alignment horizontal="left" vertical="top"/>
      <protection/>
    </xf>
    <xf numFmtId="10" fontId="6" fillId="0" borderId="0" xfId="0" applyNumberFormat="1" applyFont="1" applyFill="1" applyBorder="1" applyAlignment="1" applyProtection="1">
      <alignment vertical="top"/>
      <protection/>
    </xf>
    <xf numFmtId="2" fontId="6" fillId="0" borderId="0" xfId="0" applyNumberFormat="1" applyFont="1" applyFill="1" applyBorder="1" applyAlignment="1" applyProtection="1">
      <alignment vertical="top"/>
      <protection/>
    </xf>
    <xf numFmtId="3" fontId="6" fillId="0" borderId="0" xfId="0" applyNumberFormat="1" applyFont="1" applyFill="1" applyBorder="1" applyAlignment="1" applyProtection="1">
      <alignment vertical="top"/>
      <protection/>
    </xf>
    <xf numFmtId="165" fontId="6" fillId="0" borderId="0" xfId="0" applyNumberFormat="1" applyFont="1" applyFill="1" applyBorder="1" applyAlignment="1" applyProtection="1">
      <alignment vertical="top"/>
      <protection/>
    </xf>
    <xf numFmtId="3" fontId="0" fillId="0" borderId="43" xfId="0" applyNumberFormat="1" applyFont="1" applyFill="1" applyBorder="1" applyAlignment="1" applyProtection="1">
      <alignment vertical="top"/>
      <protection/>
    </xf>
    <xf numFmtId="0" fontId="6" fillId="0" borderId="0" xfId="0" applyNumberFormat="1" applyFont="1" applyFill="1" applyBorder="1" applyAlignment="1" applyProtection="1">
      <alignment horizontal="center" vertical="center"/>
      <protection/>
    </xf>
    <xf numFmtId="10" fontId="6" fillId="0" borderId="0" xfId="0" applyNumberFormat="1" applyFont="1" applyFill="1" applyBorder="1" applyAlignment="1" applyProtection="1">
      <alignment horizontal="center" vertical="center"/>
      <protection/>
    </xf>
    <xf numFmtId="2" fontId="6" fillId="0" borderId="0" xfId="0" applyNumberFormat="1" applyFont="1" applyFill="1" applyBorder="1" applyAlignment="1" applyProtection="1">
      <alignment horizontal="center" vertical="center"/>
      <protection/>
    </xf>
    <xf numFmtId="3" fontId="6" fillId="0" borderId="0" xfId="0" applyNumberFormat="1" applyFont="1" applyFill="1" applyBorder="1" applyAlignment="1" applyProtection="1">
      <alignment horizontal="center" vertical="center"/>
      <protection/>
    </xf>
    <xf numFmtId="165" fontId="6"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10" fontId="6" fillId="0" borderId="0" xfId="0" applyNumberFormat="1" applyFont="1" applyFill="1" applyBorder="1" applyAlignment="1" applyProtection="1">
      <alignment vertical="center"/>
      <protection/>
    </xf>
    <xf numFmtId="2" fontId="6" fillId="0" borderId="0" xfId="0" applyNumberFormat="1" applyFont="1" applyFill="1" applyBorder="1" applyAlignment="1" applyProtection="1">
      <alignment vertical="center"/>
      <protection/>
    </xf>
    <xf numFmtId="3" fontId="6" fillId="0" borderId="0" xfId="0" applyNumberFormat="1" applyFont="1" applyFill="1" applyBorder="1" applyAlignment="1" applyProtection="1">
      <alignment vertical="center"/>
      <protection/>
    </xf>
    <xf numFmtId="0" fontId="35" fillId="0" borderId="0" xfId="0" applyNumberFormat="1" applyFont="1" applyFill="1" applyBorder="1" applyAlignment="1" applyProtection="1">
      <alignment vertical="center"/>
      <protection/>
    </xf>
    <xf numFmtId="10" fontId="6" fillId="0" borderId="0" xfId="0" applyNumberFormat="1" applyFont="1" applyFill="1" applyBorder="1" applyAlignment="1" applyProtection="1">
      <alignment horizontal="center" vertical="top"/>
      <protection/>
    </xf>
    <xf numFmtId="2" fontId="6" fillId="0" borderId="0" xfId="0" applyNumberFormat="1" applyFont="1" applyFill="1" applyBorder="1" applyAlignment="1" applyProtection="1">
      <alignment horizontal="center" vertical="top"/>
      <protection/>
    </xf>
    <xf numFmtId="3" fontId="6" fillId="0" borderId="0" xfId="0" applyNumberFormat="1" applyFont="1" applyFill="1" applyBorder="1" applyAlignment="1" applyProtection="1">
      <alignment horizontal="center" vertical="top"/>
      <protection/>
    </xf>
    <xf numFmtId="165" fontId="6" fillId="0" borderId="0" xfId="0" applyNumberFormat="1" applyFont="1" applyFill="1" applyBorder="1" applyAlignment="1" applyProtection="1">
      <alignment horizontal="center" vertical="top"/>
      <protection/>
    </xf>
    <xf numFmtId="165" fontId="12" fillId="0" borderId="37" xfId="0" applyNumberFormat="1" applyFont="1" applyFill="1" applyBorder="1" applyAlignment="1" applyProtection="1">
      <alignment horizontal="center" vertical="top"/>
      <protection/>
    </xf>
    <xf numFmtId="165" fontId="12" fillId="0" borderId="27" xfId="0" applyNumberFormat="1" applyFont="1" applyFill="1" applyBorder="1" applyAlignment="1" applyProtection="1">
      <alignment horizontal="center" vertical="top"/>
      <protection/>
    </xf>
    <xf numFmtId="3" fontId="12" fillId="0" borderId="19" xfId="0" applyNumberFormat="1" applyFont="1" applyFill="1" applyBorder="1" applyAlignment="1" applyProtection="1">
      <alignment horizontal="center" vertical="center"/>
      <protection/>
    </xf>
    <xf numFmtId="14" fontId="0" fillId="0" borderId="0" xfId="0" applyNumberFormat="1" applyFont="1" applyFill="1" applyBorder="1" applyAlignment="1" applyProtection="1">
      <alignment vertical="center"/>
      <protection/>
    </xf>
    <xf numFmtId="10" fontId="2" fillId="0" borderId="0" xfId="0" applyNumberFormat="1" applyFont="1" applyFill="1" applyBorder="1" applyAlignment="1" applyProtection="1">
      <alignment horizontal="left" vertical="top"/>
      <protection/>
    </xf>
    <xf numFmtId="0" fontId="0" fillId="0" borderId="40" xfId="0" applyNumberFormat="1" applyFont="1" applyFill="1" applyBorder="1" applyAlignment="1" applyProtection="1">
      <alignment horizontal="left" vertical="center" wrapText="1"/>
      <protection/>
    </xf>
    <xf numFmtId="0" fontId="0" fillId="0" borderId="15" xfId="0" applyNumberFormat="1" applyFont="1" applyFill="1" applyBorder="1" applyAlignment="1" applyProtection="1">
      <alignment horizontal="left" vertical="center" wrapText="1"/>
      <protection/>
    </xf>
    <xf numFmtId="0" fontId="0" fillId="0" borderId="63" xfId="0" applyNumberFormat="1" applyFont="1" applyFill="1" applyBorder="1" applyAlignment="1" applyProtection="1">
      <alignment horizontal="center" vertical="top"/>
      <protection/>
    </xf>
    <xf numFmtId="0" fontId="0" fillId="0" borderId="15"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wrapText="1"/>
      <protection/>
    </xf>
    <xf numFmtId="0" fontId="2" fillId="0" borderId="87" xfId="0" applyNumberFormat="1" applyFont="1" applyFill="1" applyBorder="1" applyAlignment="1" applyProtection="1">
      <alignment horizontal="right"/>
      <protection/>
    </xf>
    <xf numFmtId="0" fontId="2" fillId="0" borderId="13" xfId="0" applyNumberFormat="1" applyFont="1" applyFill="1" applyBorder="1" applyAlignment="1" applyProtection="1">
      <alignment horizontal="right"/>
      <protection/>
    </xf>
    <xf numFmtId="0" fontId="2" fillId="0" borderId="14" xfId="0" applyNumberFormat="1" applyFont="1" applyFill="1" applyBorder="1" applyAlignment="1" applyProtection="1">
      <alignment horizontal="right"/>
      <protection/>
    </xf>
    <xf numFmtId="0" fontId="2" fillId="0" borderId="88" xfId="0" applyNumberFormat="1" applyFont="1" applyFill="1" applyBorder="1" applyAlignment="1" applyProtection="1">
      <alignment horizontal="center" vertical="top" wrapText="1"/>
      <protection/>
    </xf>
    <xf numFmtId="0" fontId="2" fillId="0" borderId="89"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center"/>
      <protection/>
    </xf>
    <xf numFmtId="0" fontId="0" fillId="0" borderId="70" xfId="0" applyNumberFormat="1" applyFont="1" applyFill="1" applyBorder="1" applyAlignment="1" applyProtection="1">
      <alignment horizontal="center" vertical="top"/>
      <protection/>
    </xf>
    <xf numFmtId="0" fontId="0" fillId="0" borderId="58" xfId="0" applyNumberFormat="1" applyFont="1" applyFill="1" applyBorder="1" applyAlignment="1" applyProtection="1">
      <alignment horizontal="center" vertical="top"/>
      <protection/>
    </xf>
    <xf numFmtId="0" fontId="0" fillId="0" borderId="66" xfId="0" applyNumberFormat="1" applyFont="1" applyFill="1" applyBorder="1" applyAlignment="1" applyProtection="1">
      <alignment horizontal="center" vertical="top"/>
      <protection/>
    </xf>
    <xf numFmtId="0" fontId="0" fillId="0" borderId="70" xfId="0" applyNumberFormat="1" applyFont="1" applyFill="1" applyBorder="1" applyAlignment="1" applyProtection="1">
      <alignment horizontal="center" vertical="center"/>
      <protection/>
    </xf>
    <xf numFmtId="0" fontId="0" fillId="0" borderId="58" xfId="0" applyNumberFormat="1" applyFont="1" applyFill="1" applyBorder="1" applyAlignment="1" applyProtection="1">
      <alignment horizontal="center" vertical="center"/>
      <protection/>
    </xf>
    <xf numFmtId="0" fontId="0" fillId="0" borderId="66" xfId="0" applyNumberFormat="1" applyFont="1" applyFill="1" applyBorder="1" applyAlignment="1" applyProtection="1">
      <alignment horizontal="center" vertical="center"/>
      <protection/>
    </xf>
    <xf numFmtId="0" fontId="13" fillId="0" borderId="54" xfId="0" applyNumberFormat="1" applyFont="1" applyFill="1" applyBorder="1" applyAlignment="1" applyProtection="1">
      <alignment horizontal="center" vertical="center"/>
      <protection/>
    </xf>
    <xf numFmtId="0" fontId="13" fillId="0" borderId="51" xfId="0" applyNumberFormat="1" applyFont="1" applyFill="1" applyBorder="1" applyAlignment="1" applyProtection="1">
      <alignment horizontal="center" vertical="center"/>
      <protection/>
    </xf>
    <xf numFmtId="0" fontId="13" fillId="0" borderId="19" xfId="0" applyNumberFormat="1" applyFont="1" applyFill="1" applyBorder="1" applyAlignment="1" applyProtection="1">
      <alignment horizontal="center" vertical="center"/>
      <protection/>
    </xf>
    <xf numFmtId="0" fontId="13" fillId="0" borderId="0"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left" vertical="top"/>
      <protection/>
    </xf>
    <xf numFmtId="0" fontId="12" fillId="0" borderId="37" xfId="0" applyNumberFormat="1" applyFont="1" applyFill="1" applyBorder="1" applyAlignment="1" applyProtection="1">
      <alignment horizontal="center" vertical="center"/>
      <protection/>
    </xf>
    <xf numFmtId="0" fontId="12" fillId="0" borderId="27" xfId="0" applyNumberFormat="1" applyFont="1" applyFill="1" applyBorder="1" applyAlignment="1" applyProtection="1">
      <alignment horizontal="center" vertical="center"/>
      <protection/>
    </xf>
    <xf numFmtId="0" fontId="12" fillId="0" borderId="19"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center" vertical="center"/>
      <protection/>
    </xf>
    <xf numFmtId="165" fontId="12" fillId="0" borderId="0" xfId="0" applyNumberFormat="1" applyFont="1" applyFill="1" applyBorder="1" applyAlignment="1" applyProtection="1">
      <alignment horizontal="center" vertical="center"/>
      <protection/>
    </xf>
    <xf numFmtId="165" fontId="12" fillId="0" borderId="37" xfId="0" applyNumberFormat="1" applyFont="1" applyFill="1" applyBorder="1" applyAlignment="1" applyProtection="1">
      <alignment horizontal="center" vertical="center"/>
      <protection/>
    </xf>
    <xf numFmtId="165" fontId="12" fillId="0" borderId="27" xfId="0" applyNumberFormat="1" applyFont="1" applyFill="1" applyBorder="1" applyAlignment="1" applyProtection="1">
      <alignment horizontal="center" vertical="center"/>
      <protection/>
    </xf>
    <xf numFmtId="165" fontId="12" fillId="0" borderId="24" xfId="0" applyNumberFormat="1" applyFont="1" applyFill="1" applyBorder="1" applyAlignment="1" applyProtection="1">
      <alignment horizontal="center"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85"/>
  <sheetViews>
    <sheetView tabSelected="1" view="pageLayout" zoomScale="0" zoomScaleNormal="75" zoomScaleSheetLayoutView="75" zoomScalePageLayoutView="0" workbookViewId="0" topLeftCell="A1">
      <selection activeCell="G28" sqref="G28"/>
      <selection activeCell="A1" sqref="A1"/>
    </sheetView>
  </sheetViews>
  <sheetFormatPr defaultColWidth="22.7109375" defaultRowHeight="12.75" customHeight="1"/>
  <cols>
    <col min="1" max="1" width="10.00390625" style="1" customWidth="1"/>
    <col min="2" max="2" width="20.7109375" style="0" customWidth="1"/>
    <col min="3" max="3" width="16.7109375" style="0" customWidth="1"/>
    <col min="4" max="4" width="26.28125" style="0" customWidth="1"/>
    <col min="5" max="5" width="17.8515625" style="0" customWidth="1"/>
    <col min="6" max="6" width="8.00390625" style="1" customWidth="1"/>
    <col min="7" max="7" width="8.7109375" style="254" customWidth="1"/>
    <col min="8" max="8" width="10.140625" style="0" customWidth="1"/>
    <col min="9" max="9" width="8.7109375" style="224" customWidth="1"/>
    <col min="10" max="10" width="8.7109375" style="236" customWidth="1"/>
    <col min="11" max="11" width="8.7109375" style="220" customWidth="1"/>
    <col min="12" max="12" width="10.8515625" style="0" customWidth="1"/>
    <col min="13" max="13" width="9.28125" style="0" customWidth="1"/>
    <col min="14" max="14" width="8.7109375" style="0" customWidth="1"/>
    <col min="15" max="15" width="8.7109375" style="220" customWidth="1"/>
    <col min="16" max="16" width="10.140625" style="0" customWidth="1"/>
    <col min="17" max="17" width="8.7109375" style="223" customWidth="1"/>
    <col min="18" max="18" width="8.7109375" style="0" customWidth="1"/>
    <col min="19" max="19" width="89.7109375" style="448" hidden="1" customWidth="1"/>
    <col min="20" max="20" width="17.7109375" style="0" customWidth="1"/>
    <col min="21" max="21" width="24.28125" style="0" customWidth="1"/>
  </cols>
  <sheetData>
    <row r="1" spans="1:18" ht="18.75" customHeight="1" thickTop="1">
      <c r="A1" s="192"/>
      <c r="B1" s="193" t="s">
        <v>25</v>
      </c>
      <c r="C1" s="193"/>
      <c r="D1" s="193"/>
      <c r="E1" s="193"/>
      <c r="F1" s="194"/>
      <c r="G1" s="193"/>
      <c r="H1" s="195"/>
      <c r="I1" s="196"/>
      <c r="J1" s="197"/>
      <c r="K1" s="193"/>
      <c r="L1" s="193"/>
      <c r="M1" s="193"/>
      <c r="N1" s="197"/>
      <c r="O1" s="193"/>
      <c r="P1" s="198"/>
      <c r="Q1" s="193"/>
      <c r="R1" s="447"/>
    </row>
    <row r="2" spans="1:18" ht="22.5" customHeight="1" thickBot="1">
      <c r="A2" s="199"/>
      <c r="B2" s="200" t="s">
        <v>26</v>
      </c>
      <c r="C2" s="200"/>
      <c r="D2" s="200"/>
      <c r="E2" s="200"/>
      <c r="F2" s="201"/>
      <c r="G2" s="200"/>
      <c r="H2" s="202"/>
      <c r="I2" s="203"/>
      <c r="J2" s="204"/>
      <c r="K2" s="200"/>
      <c r="L2" s="200"/>
      <c r="M2" s="200"/>
      <c r="N2" s="204"/>
      <c r="O2" s="200"/>
      <c r="P2" s="205"/>
      <c r="Q2" s="200"/>
      <c r="R2" s="449"/>
    </row>
    <row r="3" spans="1:18" ht="12.75" customHeight="1" thickTop="1">
      <c r="A3" s="450"/>
      <c r="B3" s="648" t="s">
        <v>27</v>
      </c>
      <c r="C3" s="648"/>
      <c r="D3" s="451"/>
      <c r="E3" s="452"/>
      <c r="F3" s="453"/>
      <c r="G3" s="454"/>
      <c r="H3" s="650" t="s">
        <v>30</v>
      </c>
      <c r="I3" s="650"/>
      <c r="J3" s="455"/>
      <c r="K3" s="454"/>
      <c r="L3" s="650" t="s">
        <v>31</v>
      </c>
      <c r="M3" s="650"/>
      <c r="N3" s="456"/>
      <c r="O3" s="454"/>
      <c r="P3" s="650" t="s">
        <v>410</v>
      </c>
      <c r="Q3" s="651"/>
      <c r="R3" s="457"/>
    </row>
    <row r="4" spans="1:19" ht="12.75" customHeight="1">
      <c r="A4" s="458"/>
      <c r="B4" s="649"/>
      <c r="C4" s="649"/>
      <c r="D4" s="459"/>
      <c r="E4" s="460"/>
      <c r="F4" s="459" t="s">
        <v>411</v>
      </c>
      <c r="G4" s="461" t="s">
        <v>457</v>
      </c>
      <c r="H4" s="462" t="s">
        <v>459</v>
      </c>
      <c r="I4" s="463" t="s">
        <v>461</v>
      </c>
      <c r="J4" s="464" t="s">
        <v>461</v>
      </c>
      <c r="K4" s="461" t="s">
        <v>457</v>
      </c>
      <c r="L4" s="462" t="s">
        <v>459</v>
      </c>
      <c r="M4" s="463" t="s">
        <v>461</v>
      </c>
      <c r="N4" s="464" t="s">
        <v>461</v>
      </c>
      <c r="O4" s="461" t="s">
        <v>457</v>
      </c>
      <c r="P4" s="462" t="s">
        <v>459</v>
      </c>
      <c r="Q4" s="463" t="s">
        <v>461</v>
      </c>
      <c r="R4" s="465" t="s">
        <v>461</v>
      </c>
      <c r="S4" s="448" t="s">
        <v>413</v>
      </c>
    </row>
    <row r="5" spans="1:18" ht="12.75" customHeight="1">
      <c r="A5" s="466" t="s">
        <v>32</v>
      </c>
      <c r="B5" s="448" t="s">
        <v>215</v>
      </c>
      <c r="C5" s="448" t="s">
        <v>409</v>
      </c>
      <c r="D5" s="1" t="s">
        <v>28</v>
      </c>
      <c r="E5" s="467" t="s">
        <v>29</v>
      </c>
      <c r="F5" s="459"/>
      <c r="G5" s="461" t="s">
        <v>458</v>
      </c>
      <c r="H5" s="462" t="s">
        <v>460</v>
      </c>
      <c r="I5" s="463" t="s">
        <v>194</v>
      </c>
      <c r="J5" s="464" t="s">
        <v>462</v>
      </c>
      <c r="K5" s="461" t="s">
        <v>458</v>
      </c>
      <c r="L5" s="462" t="s">
        <v>460</v>
      </c>
      <c r="M5" s="463" t="s">
        <v>194</v>
      </c>
      <c r="N5" s="464" t="s">
        <v>462</v>
      </c>
      <c r="O5" s="461" t="s">
        <v>458</v>
      </c>
      <c r="P5" s="462" t="s">
        <v>460</v>
      </c>
      <c r="Q5" s="463" t="s">
        <v>194</v>
      </c>
      <c r="R5" s="465" t="s">
        <v>462</v>
      </c>
    </row>
    <row r="6" spans="1:18" ht="12.75" customHeight="1">
      <c r="A6" s="468">
        <v>1</v>
      </c>
      <c r="B6" s="469" t="s">
        <v>34</v>
      </c>
      <c r="C6" s="469" t="s">
        <v>35</v>
      </c>
      <c r="D6" s="469" t="s">
        <v>36</v>
      </c>
      <c r="E6" s="469" t="s">
        <v>34</v>
      </c>
      <c r="F6" s="470"/>
      <c r="G6" s="471">
        <v>1033</v>
      </c>
      <c r="H6" s="472">
        <f>G6*100/1000000</f>
        <v>0.1033</v>
      </c>
      <c r="I6" s="473">
        <f>(18+POWER(G6/1000,0.5))/(4+POWER(G6/1000,0.5))</f>
        <v>3.790864898714202</v>
      </c>
      <c r="J6" s="474">
        <f>I6*G6*100/(7.48*24*60*60)</f>
        <v>0.6059311621688347</v>
      </c>
      <c r="K6" s="471">
        <v>1527</v>
      </c>
      <c r="L6" s="472">
        <f>K6*100/1000000</f>
        <v>0.1527</v>
      </c>
      <c r="M6" s="473">
        <f>(18+POWER(K6/1000,0.5))/(4+POWER(K6/1000,0.5))</f>
        <v>3.6739405925950637</v>
      </c>
      <c r="N6" s="474">
        <f>M6*K6*100/(7.48*24*60*60)</f>
        <v>0.8680721561343617</v>
      </c>
      <c r="O6" s="471">
        <v>1691</v>
      </c>
      <c r="P6" s="472">
        <f>O6*100/1000000</f>
        <v>0.1691</v>
      </c>
      <c r="Q6" s="473">
        <f>(18+POWER(O6/1000,0.5))/(4+POWER(O6/1000,0.5))</f>
        <v>3.641317784675418</v>
      </c>
      <c r="R6" s="475">
        <f>Q6*O6*100/(7.48*24*60*60)</f>
        <v>0.952767313745007</v>
      </c>
    </row>
    <row r="7" spans="1:18" ht="12.75" customHeight="1">
      <c r="A7" s="468">
        <v>2</v>
      </c>
      <c r="B7" s="469" t="s">
        <v>37</v>
      </c>
      <c r="C7" s="469" t="s">
        <v>35</v>
      </c>
      <c r="D7" s="469" t="s">
        <v>38</v>
      </c>
      <c r="E7" s="469" t="s">
        <v>37</v>
      </c>
      <c r="F7" s="470">
        <v>11</v>
      </c>
      <c r="G7" s="471">
        <v>0</v>
      </c>
      <c r="H7" s="472">
        <f aca="true" t="shared" si="0" ref="H7:H66">G7*100/1000000</f>
        <v>0</v>
      </c>
      <c r="I7" s="473">
        <f aca="true" t="shared" si="1" ref="I7:I64">(18+POWER(G7/1000,0.5))/(4+POWER(G7/1000,0.5))</f>
        <v>4.5</v>
      </c>
      <c r="J7" s="474">
        <f aca="true" t="shared" si="2" ref="J7:J66">I7*G7*100/(7.48*24*60*60)</f>
        <v>0</v>
      </c>
      <c r="K7" s="471">
        <f>325-360+35</f>
        <v>0</v>
      </c>
      <c r="L7" s="472">
        <f aca="true" t="shared" si="3" ref="L7:L68">K7*100/1000000</f>
        <v>0</v>
      </c>
      <c r="M7" s="473" t="s">
        <v>412</v>
      </c>
      <c r="N7" s="474" t="s">
        <v>412</v>
      </c>
      <c r="O7" s="471">
        <f>455-398-57</f>
        <v>0</v>
      </c>
      <c r="P7" s="472">
        <f aca="true" t="shared" si="4" ref="P7:P66">O7*100/1000000</f>
        <v>0</v>
      </c>
      <c r="Q7" s="473">
        <f aca="true" t="shared" si="5" ref="Q7:Q64">(18+POWER(O7/1000,0.5))/(4+POWER(O7/1000,0.5))</f>
        <v>4.5</v>
      </c>
      <c r="R7" s="475">
        <f aca="true" t="shared" si="6" ref="R7:R68">Q7*O7*100/(7.48*24*60*60)</f>
        <v>0</v>
      </c>
    </row>
    <row r="8" spans="1:18" ht="12.75" customHeight="1">
      <c r="A8" s="468" t="s">
        <v>414</v>
      </c>
      <c r="B8" s="469" t="s">
        <v>415</v>
      </c>
      <c r="C8" s="469" t="s">
        <v>35</v>
      </c>
      <c r="D8" s="469" t="s">
        <v>38</v>
      </c>
      <c r="E8" s="469" t="s">
        <v>415</v>
      </c>
      <c r="F8" s="470" t="s">
        <v>416</v>
      </c>
      <c r="G8" s="471"/>
      <c r="H8" s="472"/>
      <c r="I8" s="473"/>
      <c r="J8" s="474"/>
      <c r="K8" s="471">
        <f>360+52</f>
        <v>412</v>
      </c>
      <c r="L8" s="472">
        <f t="shared" si="3"/>
        <v>0.0412</v>
      </c>
      <c r="M8" s="473">
        <f>(18+POWER(K8/1000,0.5))/(4+POWER(K8/1000,0.5))</f>
        <v>4.016024399532109</v>
      </c>
      <c r="N8" s="474">
        <f>M8*K8*100/(7.48*24*60*60)</f>
        <v>0.256022549732501</v>
      </c>
      <c r="O8" s="471">
        <v>412</v>
      </c>
      <c r="P8" s="472">
        <f t="shared" si="4"/>
        <v>0.0412</v>
      </c>
      <c r="Q8" s="473">
        <f>(18+POWER(O8/1000,0.5))/(4+POWER(O8/1000,0.5))</f>
        <v>4.016024399532109</v>
      </c>
      <c r="R8" s="475">
        <f t="shared" si="6"/>
        <v>0.256022549732501</v>
      </c>
    </row>
    <row r="9" spans="1:19" ht="12.75" customHeight="1">
      <c r="A9" s="468">
        <v>3</v>
      </c>
      <c r="B9" s="469" t="s">
        <v>37</v>
      </c>
      <c r="C9" s="469" t="s">
        <v>35</v>
      </c>
      <c r="D9" s="469" t="s">
        <v>39</v>
      </c>
      <c r="E9" s="469" t="s">
        <v>37</v>
      </c>
      <c r="F9" s="470">
        <v>3</v>
      </c>
      <c r="G9" s="471">
        <v>0</v>
      </c>
      <c r="H9" s="472">
        <f t="shared" si="0"/>
        <v>0</v>
      </c>
      <c r="I9" s="473">
        <f t="shared" si="1"/>
        <v>4.5</v>
      </c>
      <c r="J9" s="474">
        <f t="shared" si="2"/>
        <v>0</v>
      </c>
      <c r="K9" s="471">
        <f>1859-1287-572</f>
        <v>0</v>
      </c>
      <c r="L9" s="472">
        <f t="shared" si="3"/>
        <v>0</v>
      </c>
      <c r="M9" s="473">
        <f aca="true" t="shared" si="7" ref="M9:M64">(18+POWER(K9/1000,0.5))/(4+POWER(K9/1000,0.5))</f>
        <v>4.5</v>
      </c>
      <c r="N9" s="474">
        <f aca="true" t="shared" si="8" ref="N9:N66">M9*K9*100/(7.48*24*60*60)</f>
        <v>0</v>
      </c>
      <c r="O9" s="471">
        <f>2083-1931-152</f>
        <v>0</v>
      </c>
      <c r="P9" s="472">
        <f t="shared" si="4"/>
        <v>0</v>
      </c>
      <c r="Q9" s="473">
        <f t="shared" si="5"/>
        <v>4.5</v>
      </c>
      <c r="R9" s="475">
        <f t="shared" si="6"/>
        <v>0</v>
      </c>
      <c r="S9" s="448" t="s">
        <v>422</v>
      </c>
    </row>
    <row r="10" spans="1:18" ht="12.75" customHeight="1">
      <c r="A10" s="468" t="s">
        <v>417</v>
      </c>
      <c r="B10" s="469" t="s">
        <v>418</v>
      </c>
      <c r="C10" s="469" t="s">
        <v>35</v>
      </c>
      <c r="D10" s="469" t="s">
        <v>419</v>
      </c>
      <c r="E10" s="469" t="s">
        <v>418</v>
      </c>
      <c r="F10" s="470" t="s">
        <v>420</v>
      </c>
      <c r="G10" s="471"/>
      <c r="H10" s="472"/>
      <c r="I10" s="473"/>
      <c r="J10" s="474"/>
      <c r="K10" s="471">
        <f>1287+130</f>
        <v>1417</v>
      </c>
      <c r="L10" s="472">
        <f t="shared" si="3"/>
        <v>0.1417</v>
      </c>
      <c r="M10" s="473">
        <f>(18+POWER(K10/1000,0.5))/(4+POWER(K10/1000,0.5))</f>
        <v>3.697298684992982</v>
      </c>
      <c r="N10" s="474">
        <f>M10*K10*100/(7.48*24*60*60)</f>
        <v>0.810660563452394</v>
      </c>
      <c r="O10" s="471">
        <v>1931</v>
      </c>
      <c r="P10" s="472">
        <f t="shared" si="4"/>
        <v>0.1931</v>
      </c>
      <c r="Q10" s="473">
        <f>(18+POWER(O10/1000,0.5))/(4+POWER(O10/1000,0.5))</f>
        <v>3.5975933155894997</v>
      </c>
      <c r="R10" s="475">
        <f t="shared" si="6"/>
        <v>1.0749270728738554</v>
      </c>
    </row>
    <row r="11" spans="1:18" ht="12.75" customHeight="1">
      <c r="A11" s="468">
        <v>4</v>
      </c>
      <c r="B11" s="469" t="s">
        <v>37</v>
      </c>
      <c r="C11" s="469" t="s">
        <v>35</v>
      </c>
      <c r="D11" s="469" t="s">
        <v>40</v>
      </c>
      <c r="E11" s="469" t="s">
        <v>37</v>
      </c>
      <c r="F11" s="470" t="s">
        <v>421</v>
      </c>
      <c r="G11" s="471">
        <v>0</v>
      </c>
      <c r="H11" s="472">
        <f t="shared" si="0"/>
        <v>0</v>
      </c>
      <c r="I11" s="473">
        <f t="shared" si="1"/>
        <v>4.5</v>
      </c>
      <c r="J11" s="474">
        <f t="shared" si="2"/>
        <v>0</v>
      </c>
      <c r="K11" s="471">
        <f>1083-162-370-551</f>
        <v>0</v>
      </c>
      <c r="L11" s="472">
        <f t="shared" si="3"/>
        <v>0</v>
      </c>
      <c r="M11" s="473">
        <f t="shared" si="7"/>
        <v>4.5</v>
      </c>
      <c r="N11" s="474">
        <f t="shared" si="8"/>
        <v>0</v>
      </c>
      <c r="O11" s="471">
        <f>1213-244-555+130-544</f>
        <v>0</v>
      </c>
      <c r="P11" s="472">
        <v>0</v>
      </c>
      <c r="Q11" s="473">
        <f t="shared" si="5"/>
        <v>4.5</v>
      </c>
      <c r="R11" s="475">
        <f t="shared" si="6"/>
        <v>0</v>
      </c>
    </row>
    <row r="12" spans="1:18" ht="12.75" customHeight="1">
      <c r="A12" s="468" t="s">
        <v>423</v>
      </c>
      <c r="B12" s="469" t="s">
        <v>418</v>
      </c>
      <c r="C12" s="469" t="s">
        <v>35</v>
      </c>
      <c r="D12" s="469" t="s">
        <v>424</v>
      </c>
      <c r="E12" s="469" t="s">
        <v>418</v>
      </c>
      <c r="F12" s="520" t="s">
        <v>425</v>
      </c>
      <c r="G12" s="521"/>
      <c r="H12" s="481"/>
      <c r="I12" s="482"/>
      <c r="J12" s="483"/>
      <c r="K12" s="521">
        <f>162+390</f>
        <v>552</v>
      </c>
      <c r="L12" s="481">
        <f t="shared" si="3"/>
        <v>0.0552</v>
      </c>
      <c r="M12" s="482">
        <f t="shared" si="7"/>
        <v>3.9517388433607095</v>
      </c>
      <c r="N12" s="483">
        <f t="shared" si="8"/>
        <v>0.337529684333394</v>
      </c>
      <c r="O12" s="521">
        <f>244+390</f>
        <v>634</v>
      </c>
      <c r="P12" s="481">
        <f t="shared" si="4"/>
        <v>0.0634</v>
      </c>
      <c r="Q12" s="482">
        <f t="shared" si="5"/>
        <v>3.918952468245422</v>
      </c>
      <c r="R12" s="484">
        <f t="shared" si="6"/>
        <v>0.38445358376466837</v>
      </c>
    </row>
    <row r="13" spans="1:18" ht="12.75" customHeight="1">
      <c r="A13" s="468" t="s">
        <v>426</v>
      </c>
      <c r="B13" s="469" t="s">
        <v>418</v>
      </c>
      <c r="C13" s="469" t="s">
        <v>35</v>
      </c>
      <c r="D13" s="469" t="s">
        <v>427</v>
      </c>
      <c r="E13" s="469" t="s">
        <v>418</v>
      </c>
      <c r="F13" s="520">
        <v>4</v>
      </c>
      <c r="G13" s="521"/>
      <c r="H13" s="481"/>
      <c r="I13" s="482"/>
      <c r="J13" s="483"/>
      <c r="K13" s="521">
        <v>370</v>
      </c>
      <c r="L13" s="481">
        <f t="shared" si="3"/>
        <v>0.037</v>
      </c>
      <c r="M13" s="473">
        <f t="shared" si="7"/>
        <v>4.038012313345009</v>
      </c>
      <c r="N13" s="483">
        <f t="shared" si="8"/>
        <v>0.23118200323356936</v>
      </c>
      <c r="O13" s="521">
        <v>555</v>
      </c>
      <c r="P13" s="481">
        <f t="shared" si="4"/>
        <v>0.0555</v>
      </c>
      <c r="Q13" s="473">
        <f t="shared" si="5"/>
        <v>3.9504846165085175</v>
      </c>
      <c r="R13" s="484">
        <f t="shared" si="6"/>
        <v>0.3392563753593266</v>
      </c>
    </row>
    <row r="14" spans="1:18" ht="12.75" customHeight="1">
      <c r="A14" s="476">
        <v>5</v>
      </c>
      <c r="B14" s="477" t="s">
        <v>35</v>
      </c>
      <c r="C14" s="477" t="s">
        <v>41</v>
      </c>
      <c r="D14" s="477" t="s">
        <v>36</v>
      </c>
      <c r="E14" s="478" t="s">
        <v>42</v>
      </c>
      <c r="F14" s="479"/>
      <c r="G14" s="480">
        <f>SUM(G6:G11)</f>
        <v>1033</v>
      </c>
      <c r="H14" s="481">
        <f t="shared" si="0"/>
        <v>0.1033</v>
      </c>
      <c r="I14" s="482">
        <f>I$19</f>
        <v>3.467171266171066</v>
      </c>
      <c r="J14" s="483">
        <f t="shared" si="2"/>
        <v>0.5541920302836439</v>
      </c>
      <c r="K14" s="480">
        <v>1527</v>
      </c>
      <c r="L14" s="481">
        <f t="shared" si="3"/>
        <v>0.1527</v>
      </c>
      <c r="M14" s="224">
        <f>M$19</f>
        <v>3.0739344267302684</v>
      </c>
      <c r="N14" s="483">
        <f t="shared" si="8"/>
        <v>0.7263037652284363</v>
      </c>
      <c r="O14" s="480">
        <v>1691</v>
      </c>
      <c r="P14" s="481">
        <f t="shared" si="4"/>
        <v>0.1691</v>
      </c>
      <c r="Q14" s="224">
        <f>Q$19</f>
        <v>3.0127457086617544</v>
      </c>
      <c r="R14" s="484">
        <f t="shared" si="6"/>
        <v>0.7882985791349505</v>
      </c>
    </row>
    <row r="15" spans="1:18" ht="12.75" customHeight="1">
      <c r="A15" s="485"/>
      <c r="B15" s="267"/>
      <c r="C15" s="267"/>
      <c r="D15" s="267"/>
      <c r="E15" s="486" t="s">
        <v>415</v>
      </c>
      <c r="F15" s="487"/>
      <c r="G15" s="499"/>
      <c r="H15" s="236"/>
      <c r="J15" s="500"/>
      <c r="K15" s="499">
        <f>K8</f>
        <v>412</v>
      </c>
      <c r="L15" s="236">
        <f t="shared" si="3"/>
        <v>0.0412</v>
      </c>
      <c r="M15" s="224">
        <f>M$19</f>
        <v>3.0739344267302684</v>
      </c>
      <c r="N15" s="500">
        <f>M15*K15*100/(7.48*24*60*60)</f>
        <v>0.19596408072961083</v>
      </c>
      <c r="O15" s="499">
        <v>412</v>
      </c>
      <c r="P15" s="236">
        <f t="shared" si="4"/>
        <v>0.0412</v>
      </c>
      <c r="Q15" s="224">
        <f>Q$19</f>
        <v>3.0127457086617544</v>
      </c>
      <c r="R15" s="509">
        <f t="shared" si="6"/>
        <v>0.19206328480402102</v>
      </c>
    </row>
    <row r="16" spans="1:18" ht="12.75" customHeight="1">
      <c r="A16" s="485"/>
      <c r="B16" s="267"/>
      <c r="C16" s="267"/>
      <c r="D16" s="267"/>
      <c r="E16" s="486" t="s">
        <v>428</v>
      </c>
      <c r="F16" s="487">
        <v>9</v>
      </c>
      <c r="G16" s="499"/>
      <c r="H16" s="236"/>
      <c r="J16" s="500"/>
      <c r="K16" s="499">
        <f>K10+K12+K13</f>
        <v>2339</v>
      </c>
      <c r="L16" s="236">
        <f t="shared" si="3"/>
        <v>0.2339</v>
      </c>
      <c r="M16" s="224">
        <f>M$19</f>
        <v>3.0739344267302684</v>
      </c>
      <c r="N16" s="500">
        <f>M16*K16*100/(7.48*24*60*60)</f>
        <v>1.1125242350159217</v>
      </c>
      <c r="O16" s="499">
        <f>O10+O12+O13</f>
        <v>3120</v>
      </c>
      <c r="P16" s="236">
        <f t="shared" si="4"/>
        <v>0.312</v>
      </c>
      <c r="Q16" s="224">
        <f>Q$19</f>
        <v>3.0127457086617544</v>
      </c>
      <c r="R16" s="509">
        <f t="shared" si="6"/>
        <v>1.4544598266712272</v>
      </c>
    </row>
    <row r="17" spans="1:18" ht="12.75" customHeight="1">
      <c r="A17" s="485"/>
      <c r="B17" s="267"/>
      <c r="C17" s="267"/>
      <c r="D17" s="267"/>
      <c r="E17" s="486" t="s">
        <v>43</v>
      </c>
      <c r="F17" s="487"/>
      <c r="G17" s="499">
        <v>0</v>
      </c>
      <c r="H17" s="236">
        <f t="shared" si="0"/>
        <v>0</v>
      </c>
      <c r="I17" s="224">
        <f>I$19</f>
        <v>3.467171266171066</v>
      </c>
      <c r="J17" s="500">
        <f t="shared" si="2"/>
        <v>0</v>
      </c>
      <c r="K17" s="499">
        <v>516</v>
      </c>
      <c r="L17" s="236">
        <f t="shared" si="3"/>
        <v>0.0516</v>
      </c>
      <c r="M17" s="224">
        <f>M$19</f>
        <v>3.0739344267302684</v>
      </c>
      <c r="N17" s="500">
        <f t="shared" si="8"/>
        <v>0.24543074188465822</v>
      </c>
      <c r="O17" s="499">
        <v>516</v>
      </c>
      <c r="P17" s="236">
        <f t="shared" si="4"/>
        <v>0.0516</v>
      </c>
      <c r="Q17" s="224">
        <f>Q$19</f>
        <v>3.0127457086617544</v>
      </c>
      <c r="R17" s="509">
        <f t="shared" si="6"/>
        <v>0.24054527902639528</v>
      </c>
    </row>
    <row r="18" spans="1:18" ht="12.75" customHeight="1">
      <c r="A18" s="485"/>
      <c r="B18" s="267"/>
      <c r="C18" s="267"/>
      <c r="D18" s="267"/>
      <c r="E18" s="486" t="s">
        <v>35</v>
      </c>
      <c r="F18" s="487"/>
      <c r="G18" s="237">
        <v>1771</v>
      </c>
      <c r="H18" s="238">
        <f t="shared" si="0"/>
        <v>0.1771</v>
      </c>
      <c r="I18" s="488">
        <f>I$19</f>
        <v>3.467171266171066</v>
      </c>
      <c r="J18" s="489">
        <f t="shared" si="2"/>
        <v>0.9501201216189095</v>
      </c>
      <c r="K18" s="237">
        <f>1951+820</f>
        <v>2771</v>
      </c>
      <c r="L18" s="238">
        <f t="shared" si="3"/>
        <v>0.2771</v>
      </c>
      <c r="M18" s="488">
        <f>M$19</f>
        <v>3.0739344267302684</v>
      </c>
      <c r="N18" s="489">
        <f t="shared" si="8"/>
        <v>1.3180011351984262</v>
      </c>
      <c r="O18" s="237">
        <f>2177+820</f>
        <v>2997</v>
      </c>
      <c r="P18" s="238">
        <f t="shared" si="4"/>
        <v>0.2997</v>
      </c>
      <c r="Q18" s="488">
        <f>Q$19</f>
        <v>3.0127457086617544</v>
      </c>
      <c r="R18" s="490">
        <f t="shared" si="6"/>
        <v>1.3971205450428423</v>
      </c>
    </row>
    <row r="19" spans="1:18" ht="12.75" customHeight="1">
      <c r="A19" s="485"/>
      <c r="B19" s="267"/>
      <c r="C19" s="267"/>
      <c r="D19" s="267"/>
      <c r="E19" s="491" t="s">
        <v>7</v>
      </c>
      <c r="F19" s="492"/>
      <c r="G19" s="493">
        <f>SUM(G14:G18)</f>
        <v>2804</v>
      </c>
      <c r="H19" s="494">
        <f t="shared" si="0"/>
        <v>0.2804</v>
      </c>
      <c r="I19" s="495">
        <f t="shared" si="1"/>
        <v>3.467171266171066</v>
      </c>
      <c r="J19" s="496">
        <f t="shared" si="2"/>
        <v>1.5043121519025533</v>
      </c>
      <c r="K19" s="493">
        <f>SUM(K14:K18)</f>
        <v>7565</v>
      </c>
      <c r="L19" s="494">
        <f t="shared" si="3"/>
        <v>0.7565</v>
      </c>
      <c r="M19" s="495">
        <f t="shared" si="7"/>
        <v>3.0739344267302684</v>
      </c>
      <c r="N19" s="496">
        <f t="shared" si="8"/>
        <v>3.5982239580570536</v>
      </c>
      <c r="O19" s="493">
        <f>SUM(O14:O18)</f>
        <v>8736</v>
      </c>
      <c r="P19" s="494">
        <f t="shared" si="4"/>
        <v>0.8736</v>
      </c>
      <c r="Q19" s="495">
        <f t="shared" si="5"/>
        <v>3.0127457086617544</v>
      </c>
      <c r="R19" s="497">
        <f t="shared" si="6"/>
        <v>4.072487514679437</v>
      </c>
    </row>
    <row r="20" spans="1:18" ht="12.75" customHeight="1">
      <c r="A20" s="468">
        <v>6</v>
      </c>
      <c r="B20" s="469" t="s">
        <v>41</v>
      </c>
      <c r="C20" s="469" t="s">
        <v>44</v>
      </c>
      <c r="D20" s="469" t="s">
        <v>45</v>
      </c>
      <c r="E20" s="469" t="s">
        <v>44</v>
      </c>
      <c r="F20" s="470"/>
      <c r="G20" s="471">
        <v>409</v>
      </c>
      <c r="H20" s="472">
        <f t="shared" si="0"/>
        <v>0.0409</v>
      </c>
      <c r="I20" s="473">
        <f t="shared" si="1"/>
        <v>4.017546334745757</v>
      </c>
      <c r="J20" s="474">
        <f t="shared" si="2"/>
        <v>0.2542546251285859</v>
      </c>
      <c r="K20" s="471">
        <v>1371</v>
      </c>
      <c r="L20" s="472">
        <f t="shared" si="3"/>
        <v>0.1371</v>
      </c>
      <c r="M20" s="473">
        <f t="shared" si="7"/>
        <v>3.7074605723100116</v>
      </c>
      <c r="N20" s="474">
        <f t="shared" si="8"/>
        <v>0.7864998707412708</v>
      </c>
      <c r="O20" s="471">
        <v>1371</v>
      </c>
      <c r="P20" s="472">
        <f t="shared" si="4"/>
        <v>0.1371</v>
      </c>
      <c r="Q20" s="473">
        <f t="shared" si="5"/>
        <v>3.7074605723100116</v>
      </c>
      <c r="R20" s="475">
        <f t="shared" si="6"/>
        <v>0.7864998707412708</v>
      </c>
    </row>
    <row r="21" spans="1:18" ht="12.75" customHeight="1">
      <c r="A21" s="476">
        <v>7</v>
      </c>
      <c r="B21" s="477" t="s">
        <v>44</v>
      </c>
      <c r="C21" s="477" t="s">
        <v>46</v>
      </c>
      <c r="D21" s="477" t="s">
        <v>47</v>
      </c>
      <c r="E21" s="478" t="s">
        <v>48</v>
      </c>
      <c r="F21" s="479"/>
      <c r="G21" s="498">
        <v>1033</v>
      </c>
      <c r="H21" s="472">
        <f t="shared" si="0"/>
        <v>0.1033</v>
      </c>
      <c r="I21" s="473">
        <f t="shared" si="1"/>
        <v>3.790864898714202</v>
      </c>
      <c r="J21" s="474">
        <f t="shared" si="2"/>
        <v>0.6059311621688347</v>
      </c>
      <c r="K21" s="498">
        <v>1527</v>
      </c>
      <c r="L21" s="472">
        <f t="shared" si="3"/>
        <v>0.1527</v>
      </c>
      <c r="M21" s="473">
        <f t="shared" si="7"/>
        <v>3.6739405925950637</v>
      </c>
      <c r="N21" s="474">
        <f t="shared" si="8"/>
        <v>0.8680721561343617</v>
      </c>
      <c r="O21" s="498">
        <v>1691</v>
      </c>
      <c r="P21" s="472">
        <f t="shared" si="4"/>
        <v>0.1691</v>
      </c>
      <c r="Q21" s="473">
        <f t="shared" si="5"/>
        <v>3.641317784675418</v>
      </c>
      <c r="R21" s="475">
        <f t="shared" si="6"/>
        <v>0.952767313745007</v>
      </c>
    </row>
    <row r="22" spans="1:18" ht="12.75" customHeight="1">
      <c r="A22" s="485"/>
      <c r="B22" s="267"/>
      <c r="C22" s="267"/>
      <c r="D22" s="267"/>
      <c r="E22" s="486" t="s">
        <v>415</v>
      </c>
      <c r="F22" s="487"/>
      <c r="G22" s="499"/>
      <c r="H22" s="236"/>
      <c r="J22" s="500"/>
      <c r="K22" s="499">
        <f>K15</f>
        <v>412</v>
      </c>
      <c r="L22" s="236">
        <f t="shared" si="3"/>
        <v>0.0412</v>
      </c>
      <c r="M22" s="224">
        <f aca="true" t="shared" si="9" ref="M22:M27">M$28</f>
        <v>2.612335832432552</v>
      </c>
      <c r="N22" s="500">
        <f t="shared" si="8"/>
        <v>0.16653705606342398</v>
      </c>
      <c r="O22" s="499">
        <f>O15</f>
        <v>412</v>
      </c>
      <c r="P22" s="236">
        <f t="shared" si="4"/>
        <v>0.0412</v>
      </c>
      <c r="Q22" s="224">
        <f aca="true" t="shared" si="10" ref="Q22:Q27">Q$28</f>
        <v>2.5739364576525547</v>
      </c>
      <c r="R22" s="509">
        <f t="shared" si="6"/>
        <v>0.16408908641452088</v>
      </c>
    </row>
    <row r="23" spans="1:18" ht="12.75" customHeight="1">
      <c r="A23" s="485"/>
      <c r="B23" s="267"/>
      <c r="C23" s="267"/>
      <c r="D23" s="267"/>
      <c r="E23" s="486" t="s">
        <v>428</v>
      </c>
      <c r="F23" s="487"/>
      <c r="G23" s="499"/>
      <c r="H23" s="236"/>
      <c r="J23" s="500"/>
      <c r="K23" s="499">
        <f>K16</f>
        <v>2339</v>
      </c>
      <c r="L23" s="236">
        <f t="shared" si="3"/>
        <v>0.2339</v>
      </c>
      <c r="M23" s="224">
        <f t="shared" si="9"/>
        <v>2.612335832432552</v>
      </c>
      <c r="N23" s="500">
        <f t="shared" si="8"/>
        <v>0.9454615876998756</v>
      </c>
      <c r="O23" s="499">
        <f>O16</f>
        <v>3120</v>
      </c>
      <c r="P23" s="236">
        <f t="shared" si="4"/>
        <v>0.312</v>
      </c>
      <c r="Q23" s="224">
        <f t="shared" si="10"/>
        <v>2.5739364576525547</v>
      </c>
      <c r="R23" s="509">
        <f t="shared" si="6"/>
        <v>1.242616382556566</v>
      </c>
    </row>
    <row r="24" spans="1:19" ht="12.75" customHeight="1">
      <c r="A24" s="485"/>
      <c r="C24" s="267"/>
      <c r="D24" s="267"/>
      <c r="E24" s="486" t="s">
        <v>43</v>
      </c>
      <c r="F24" s="487"/>
      <c r="G24" s="499">
        <v>0</v>
      </c>
      <c r="H24" s="236">
        <v>0</v>
      </c>
      <c r="I24" s="224">
        <f>I$28</f>
        <v>3.336846525670622</v>
      </c>
      <c r="J24" s="500">
        <v>0</v>
      </c>
      <c r="K24" s="499">
        <f>K17</f>
        <v>516</v>
      </c>
      <c r="L24" s="236">
        <f t="shared" si="3"/>
        <v>0.0516</v>
      </c>
      <c r="M24" s="224">
        <f t="shared" si="9"/>
        <v>2.612335832432552</v>
      </c>
      <c r="N24" s="500">
        <v>0.09036768291983872</v>
      </c>
      <c r="O24" s="499">
        <f>O17</f>
        <v>516</v>
      </c>
      <c r="P24" s="236">
        <v>0.0623</v>
      </c>
      <c r="Q24" s="224">
        <f t="shared" si="10"/>
        <v>2.5739364576525547</v>
      </c>
      <c r="R24" s="509">
        <f t="shared" si="6"/>
        <v>0.20550963249973977</v>
      </c>
      <c r="S24" s="448" t="s">
        <v>429</v>
      </c>
    </row>
    <row r="25" spans="1:18" ht="12.75" customHeight="1">
      <c r="A25" s="485"/>
      <c r="B25" s="267"/>
      <c r="C25" s="267"/>
      <c r="D25" s="267"/>
      <c r="E25" s="486" t="s">
        <v>35</v>
      </c>
      <c r="F25" s="487"/>
      <c r="G25" s="499">
        <v>1771</v>
      </c>
      <c r="H25" s="236">
        <f t="shared" si="0"/>
        <v>0.1771</v>
      </c>
      <c r="I25" s="224">
        <f>I$28</f>
        <v>3.336846525670622</v>
      </c>
      <c r="J25" s="500">
        <f t="shared" si="2"/>
        <v>0.914406812760366</v>
      </c>
      <c r="K25" s="499">
        <f>K18</f>
        <v>2771</v>
      </c>
      <c r="L25" s="236">
        <f t="shared" si="3"/>
        <v>0.2771</v>
      </c>
      <c r="M25" s="224">
        <f t="shared" si="9"/>
        <v>2.612335832432552</v>
      </c>
      <c r="N25" s="500">
        <f t="shared" si="8"/>
        <v>1.1200829668731744</v>
      </c>
      <c r="O25" s="499">
        <f>O18</f>
        <v>2997</v>
      </c>
      <c r="P25" s="236">
        <f t="shared" si="4"/>
        <v>0.2997</v>
      </c>
      <c r="Q25" s="224">
        <f t="shared" si="10"/>
        <v>2.5739364576525547</v>
      </c>
      <c r="R25" s="509">
        <f t="shared" si="6"/>
        <v>1.193628621321163</v>
      </c>
    </row>
    <row r="26" spans="1:18" ht="12.75" customHeight="1">
      <c r="A26" s="485"/>
      <c r="B26" s="267"/>
      <c r="C26" s="267"/>
      <c r="D26" s="267"/>
      <c r="E26" s="486" t="s">
        <v>49</v>
      </c>
      <c r="F26" s="487">
        <v>7</v>
      </c>
      <c r="G26" s="499">
        <v>409</v>
      </c>
      <c r="H26" s="236">
        <f t="shared" si="0"/>
        <v>0.0409</v>
      </c>
      <c r="I26" s="224">
        <f>I$28</f>
        <v>3.336846525670622</v>
      </c>
      <c r="J26" s="500">
        <f t="shared" si="2"/>
        <v>0.2111758251942347</v>
      </c>
      <c r="K26" s="499">
        <f>1371+11755</f>
        <v>13126</v>
      </c>
      <c r="L26" s="236">
        <f t="shared" si="3"/>
        <v>1.3126</v>
      </c>
      <c r="M26" s="224">
        <f t="shared" si="9"/>
        <v>2.612335832432552</v>
      </c>
      <c r="N26" s="500">
        <f t="shared" si="8"/>
        <v>5.305741257010931</v>
      </c>
      <c r="O26" s="499">
        <f>1371+'Sheet 4-13'!M81</f>
        <v>13984</v>
      </c>
      <c r="P26" s="236">
        <f t="shared" si="4"/>
        <v>1.3984</v>
      </c>
      <c r="Q26" s="224">
        <f t="shared" si="10"/>
        <v>2.5739364576525547</v>
      </c>
      <c r="R26" s="509">
        <f t="shared" si="6"/>
        <v>5.569470350535584</v>
      </c>
    </row>
    <row r="27" spans="1:18" ht="12.75" customHeight="1">
      <c r="A27" s="485"/>
      <c r="B27" s="267"/>
      <c r="C27" s="267"/>
      <c r="D27" s="267"/>
      <c r="E27" s="486" t="s">
        <v>41</v>
      </c>
      <c r="F27" s="487"/>
      <c r="G27" s="237">
        <v>751</v>
      </c>
      <c r="H27" s="238">
        <f t="shared" si="0"/>
        <v>0.0751</v>
      </c>
      <c r="I27" s="488">
        <f>I$28</f>
        <v>3.336846525670622</v>
      </c>
      <c r="J27" s="489">
        <f t="shared" si="2"/>
        <v>0.38775805555224996</v>
      </c>
      <c r="K27" s="237">
        <v>1240</v>
      </c>
      <c r="L27" s="238">
        <f t="shared" si="3"/>
        <v>0.124</v>
      </c>
      <c r="M27" s="488">
        <f t="shared" si="9"/>
        <v>2.612335832432552</v>
      </c>
      <c r="N27" s="489">
        <f t="shared" si="8"/>
        <v>0.5012280328122469</v>
      </c>
      <c r="O27" s="237">
        <v>1240</v>
      </c>
      <c r="P27" s="238">
        <f t="shared" si="4"/>
        <v>0.124</v>
      </c>
      <c r="Q27" s="488">
        <f t="shared" si="10"/>
        <v>2.5739364576525547</v>
      </c>
      <c r="R27" s="490">
        <f t="shared" si="6"/>
        <v>0.4938603571699172</v>
      </c>
    </row>
    <row r="28" spans="1:18" ht="12.75" customHeight="1">
      <c r="A28" s="485"/>
      <c r="B28" s="267"/>
      <c r="C28" s="267"/>
      <c r="D28" s="267"/>
      <c r="E28" s="491" t="s">
        <v>7</v>
      </c>
      <c r="F28" s="492"/>
      <c r="G28" s="501">
        <f>SUM(G21:G27)</f>
        <v>3964</v>
      </c>
      <c r="H28" s="502">
        <f t="shared" si="0"/>
        <v>0.3964</v>
      </c>
      <c r="I28" s="503">
        <f t="shared" si="1"/>
        <v>3.336846525670622</v>
      </c>
      <c r="J28" s="504">
        <f t="shared" si="2"/>
        <v>2.046701640757815</v>
      </c>
      <c r="K28" s="501">
        <f>SUM(K21:K27)</f>
        <v>21931</v>
      </c>
      <c r="L28" s="502">
        <f t="shared" si="3"/>
        <v>2.1931</v>
      </c>
      <c r="M28" s="503">
        <f t="shared" si="7"/>
        <v>2.612335832432552</v>
      </c>
      <c r="N28" s="504">
        <f t="shared" si="8"/>
        <v>8.864864506133378</v>
      </c>
      <c r="O28" s="501">
        <f>SUM(O21:O27)</f>
        <v>23960</v>
      </c>
      <c r="P28" s="502">
        <f t="shared" si="4"/>
        <v>2.396</v>
      </c>
      <c r="Q28" s="503">
        <f t="shared" si="5"/>
        <v>2.5739364576525547</v>
      </c>
      <c r="R28" s="505">
        <f t="shared" si="6"/>
        <v>9.542656578863888</v>
      </c>
    </row>
    <row r="29" spans="1:18" ht="12.75" customHeight="1">
      <c r="A29" s="468">
        <v>8</v>
      </c>
      <c r="B29" s="469" t="s">
        <v>41</v>
      </c>
      <c r="C29" s="469" t="s">
        <v>44</v>
      </c>
      <c r="D29" s="469" t="s">
        <v>50</v>
      </c>
      <c r="E29" s="469" t="s">
        <v>41</v>
      </c>
      <c r="F29" s="470"/>
      <c r="G29" s="471">
        <v>60</v>
      </c>
      <c r="H29" s="472">
        <f t="shared" si="0"/>
        <v>0.006</v>
      </c>
      <c r="I29" s="473">
        <f t="shared" si="1"/>
        <v>4.298037287333975</v>
      </c>
      <c r="J29" s="474">
        <f t="shared" si="2"/>
        <v>0.03990304968187366</v>
      </c>
      <c r="K29" s="471">
        <v>60</v>
      </c>
      <c r="L29" s="472">
        <f t="shared" si="3"/>
        <v>0.006</v>
      </c>
      <c r="M29" s="473">
        <f t="shared" si="7"/>
        <v>4.298037287333975</v>
      </c>
      <c r="N29" s="474">
        <f t="shared" si="8"/>
        <v>0.03990304968187366</v>
      </c>
      <c r="O29" s="471">
        <f>'Sheet 4-13'!U81</f>
        <v>68</v>
      </c>
      <c r="P29" s="472">
        <f t="shared" si="4"/>
        <v>0.0068</v>
      </c>
      <c r="Q29" s="473">
        <f t="shared" si="5"/>
        <v>4.285792534087781</v>
      </c>
      <c r="R29" s="475">
        <f t="shared" si="6"/>
        <v>0.04509461841422328</v>
      </c>
    </row>
    <row r="30" spans="1:18" ht="12.75" customHeight="1">
      <c r="A30" s="468">
        <v>9</v>
      </c>
      <c r="B30" s="469" t="s">
        <v>51</v>
      </c>
      <c r="C30" s="469" t="s">
        <v>44</v>
      </c>
      <c r="D30" s="469" t="s">
        <v>52</v>
      </c>
      <c r="E30" s="469" t="s">
        <v>51</v>
      </c>
      <c r="F30" s="470"/>
      <c r="G30" s="471">
        <v>73</v>
      </c>
      <c r="H30" s="472">
        <f t="shared" si="0"/>
        <v>0.0073</v>
      </c>
      <c r="I30" s="473">
        <f t="shared" si="1"/>
        <v>4.278546386381002</v>
      </c>
      <c r="J30" s="474">
        <f t="shared" si="2"/>
        <v>0.04832854993034096</v>
      </c>
      <c r="K30" s="471">
        <v>73</v>
      </c>
      <c r="L30" s="472">
        <f t="shared" si="3"/>
        <v>0.0073</v>
      </c>
      <c r="M30" s="473">
        <f t="shared" si="7"/>
        <v>4.278546386381002</v>
      </c>
      <c r="N30" s="474">
        <f t="shared" si="8"/>
        <v>0.04832854993034096</v>
      </c>
      <c r="O30" s="471">
        <v>73</v>
      </c>
      <c r="P30" s="472">
        <f t="shared" si="4"/>
        <v>0.0073</v>
      </c>
      <c r="Q30" s="473">
        <f t="shared" si="5"/>
        <v>4.278546386381002</v>
      </c>
      <c r="R30" s="475">
        <f t="shared" si="6"/>
        <v>0.04832854993034096</v>
      </c>
    </row>
    <row r="31" spans="1:18" ht="12.75" customHeight="1">
      <c r="A31" s="468">
        <v>10</v>
      </c>
      <c r="B31" s="469" t="s">
        <v>53</v>
      </c>
      <c r="C31" s="469" t="s">
        <v>44</v>
      </c>
      <c r="D31" s="469" t="s">
        <v>54</v>
      </c>
      <c r="E31" s="469" t="s">
        <v>53</v>
      </c>
      <c r="F31" s="470"/>
      <c r="G31" s="471">
        <v>24</v>
      </c>
      <c r="H31" s="472">
        <f t="shared" si="0"/>
        <v>0.0024</v>
      </c>
      <c r="I31" s="473">
        <f t="shared" si="1"/>
        <v>4.369499832631688</v>
      </c>
      <c r="J31" s="474">
        <f t="shared" si="2"/>
        <v>0.016226603656534788</v>
      </c>
      <c r="K31" s="471">
        <v>24</v>
      </c>
      <c r="L31" s="472">
        <f t="shared" si="3"/>
        <v>0.0024</v>
      </c>
      <c r="M31" s="473">
        <f t="shared" si="7"/>
        <v>4.369499832631688</v>
      </c>
      <c r="N31" s="474">
        <f t="shared" si="8"/>
        <v>0.016226603656534788</v>
      </c>
      <c r="O31" s="471">
        <v>24</v>
      </c>
      <c r="P31" s="472">
        <f t="shared" si="4"/>
        <v>0.0024</v>
      </c>
      <c r="Q31" s="473">
        <f t="shared" si="5"/>
        <v>4.369499832631688</v>
      </c>
      <c r="R31" s="475">
        <f t="shared" si="6"/>
        <v>0.016226603656534788</v>
      </c>
    </row>
    <row r="32" spans="1:18" ht="12.75" customHeight="1">
      <c r="A32" s="468">
        <v>11</v>
      </c>
      <c r="B32" s="469" t="s">
        <v>53</v>
      </c>
      <c r="C32" s="469" t="s">
        <v>44</v>
      </c>
      <c r="D32" s="469" t="s">
        <v>55</v>
      </c>
      <c r="E32" s="469" t="s">
        <v>53</v>
      </c>
      <c r="F32" s="470"/>
      <c r="G32" s="471">
        <v>65</v>
      </c>
      <c r="H32" s="472">
        <f t="shared" si="0"/>
        <v>0.0065</v>
      </c>
      <c r="I32" s="473">
        <f t="shared" si="1"/>
        <v>4.290284677783812</v>
      </c>
      <c r="J32" s="474">
        <f t="shared" si="2"/>
        <v>0.043150330519649276</v>
      </c>
      <c r="K32" s="471">
        <v>65</v>
      </c>
      <c r="L32" s="472">
        <f t="shared" si="3"/>
        <v>0.0065</v>
      </c>
      <c r="M32" s="473">
        <f t="shared" si="7"/>
        <v>4.290284677783812</v>
      </c>
      <c r="N32" s="474">
        <f t="shared" si="8"/>
        <v>0.043150330519649276</v>
      </c>
      <c r="O32" s="471">
        <v>65</v>
      </c>
      <c r="P32" s="472">
        <f t="shared" si="4"/>
        <v>0.0065</v>
      </c>
      <c r="Q32" s="473">
        <f t="shared" si="5"/>
        <v>4.290284677783812</v>
      </c>
      <c r="R32" s="475">
        <f t="shared" si="6"/>
        <v>0.043150330519649276</v>
      </c>
    </row>
    <row r="33" spans="1:18" ht="12.75" customHeight="1">
      <c r="A33" s="468">
        <v>12</v>
      </c>
      <c r="B33" s="469" t="s">
        <v>53</v>
      </c>
      <c r="C33" s="469" t="s">
        <v>44</v>
      </c>
      <c r="D33" s="469" t="s">
        <v>56</v>
      </c>
      <c r="E33" s="469" t="s">
        <v>53</v>
      </c>
      <c r="F33" s="470"/>
      <c r="G33" s="471">
        <v>16</v>
      </c>
      <c r="H33" s="472">
        <f t="shared" si="0"/>
        <v>0.0016</v>
      </c>
      <c r="I33" s="473">
        <f t="shared" si="1"/>
        <v>4.392712994888996</v>
      </c>
      <c r="J33" s="474">
        <f t="shared" si="2"/>
        <v>0.010875205473581392</v>
      </c>
      <c r="K33" s="471">
        <v>16</v>
      </c>
      <c r="L33" s="472">
        <f t="shared" si="3"/>
        <v>0.0016</v>
      </c>
      <c r="M33" s="473">
        <f t="shared" si="7"/>
        <v>4.392712994888996</v>
      </c>
      <c r="N33" s="474">
        <f t="shared" si="8"/>
        <v>0.010875205473581392</v>
      </c>
      <c r="O33" s="471">
        <v>16</v>
      </c>
      <c r="P33" s="472">
        <f t="shared" si="4"/>
        <v>0.0016</v>
      </c>
      <c r="Q33" s="473">
        <f t="shared" si="5"/>
        <v>4.392712994888996</v>
      </c>
      <c r="R33" s="475">
        <f t="shared" si="6"/>
        <v>0.010875205473581392</v>
      </c>
    </row>
    <row r="34" spans="1:18" ht="12.75" customHeight="1">
      <c r="A34" s="468">
        <v>13</v>
      </c>
      <c r="B34" s="469" t="s">
        <v>53</v>
      </c>
      <c r="C34" s="469" t="s">
        <v>44</v>
      </c>
      <c r="D34" s="469" t="s">
        <v>57</v>
      </c>
      <c r="E34" s="469" t="s">
        <v>53</v>
      </c>
      <c r="F34" s="470"/>
      <c r="G34" s="471">
        <v>16</v>
      </c>
      <c r="H34" s="472">
        <f t="shared" si="0"/>
        <v>0.0016</v>
      </c>
      <c r="I34" s="473">
        <f t="shared" si="1"/>
        <v>4.392712994888996</v>
      </c>
      <c r="J34" s="474">
        <f t="shared" si="2"/>
        <v>0.010875205473581392</v>
      </c>
      <c r="K34" s="471">
        <v>16</v>
      </c>
      <c r="L34" s="472">
        <f t="shared" si="3"/>
        <v>0.0016</v>
      </c>
      <c r="M34" s="473">
        <f t="shared" si="7"/>
        <v>4.392712994888996</v>
      </c>
      <c r="N34" s="474">
        <f t="shared" si="8"/>
        <v>0.010875205473581392</v>
      </c>
      <c r="O34" s="471">
        <v>16</v>
      </c>
      <c r="P34" s="472">
        <f t="shared" si="4"/>
        <v>0.0016</v>
      </c>
      <c r="Q34" s="473">
        <f t="shared" si="5"/>
        <v>4.392712994888996</v>
      </c>
      <c r="R34" s="475">
        <f t="shared" si="6"/>
        <v>0.010875205473581392</v>
      </c>
    </row>
    <row r="35" spans="1:18" ht="12.75" customHeight="1">
      <c r="A35" s="468">
        <v>14</v>
      </c>
      <c r="B35" s="469" t="s">
        <v>53</v>
      </c>
      <c r="C35" s="469" t="s">
        <v>44</v>
      </c>
      <c r="D35" s="469" t="s">
        <v>58</v>
      </c>
      <c r="E35" s="469" t="s">
        <v>53</v>
      </c>
      <c r="F35" s="470"/>
      <c r="G35" s="471">
        <v>13</v>
      </c>
      <c r="H35" s="472">
        <f t="shared" si="0"/>
        <v>0.0013</v>
      </c>
      <c r="I35" s="473">
        <f t="shared" si="1"/>
        <v>4.402999587468643</v>
      </c>
      <c r="J35" s="474">
        <f t="shared" si="2"/>
        <v>0.008856796308225076</v>
      </c>
      <c r="K35" s="471">
        <v>13</v>
      </c>
      <c r="L35" s="472">
        <f t="shared" si="3"/>
        <v>0.0013</v>
      </c>
      <c r="M35" s="473">
        <f t="shared" si="7"/>
        <v>4.402999587468643</v>
      </c>
      <c r="N35" s="474">
        <f t="shared" si="8"/>
        <v>0.008856796308225076</v>
      </c>
      <c r="O35" s="471">
        <v>13</v>
      </c>
      <c r="P35" s="472">
        <f t="shared" si="4"/>
        <v>0.0013</v>
      </c>
      <c r="Q35" s="473">
        <f t="shared" si="5"/>
        <v>4.402999587468643</v>
      </c>
      <c r="R35" s="475">
        <f t="shared" si="6"/>
        <v>0.008856796308225076</v>
      </c>
    </row>
    <row r="36" spans="1:18" ht="12.75" customHeight="1">
      <c r="A36" s="468">
        <v>15</v>
      </c>
      <c r="B36" s="469" t="s">
        <v>53</v>
      </c>
      <c r="C36" s="469" t="s">
        <v>44</v>
      </c>
      <c r="D36" s="469" t="s">
        <v>59</v>
      </c>
      <c r="E36" s="469" t="s">
        <v>53</v>
      </c>
      <c r="F36" s="470"/>
      <c r="G36" s="471">
        <v>8</v>
      </c>
      <c r="H36" s="472">
        <f t="shared" si="0"/>
        <v>0.0008</v>
      </c>
      <c r="I36" s="473">
        <f t="shared" si="1"/>
        <v>4.423449345460237</v>
      </c>
      <c r="J36" s="474">
        <f t="shared" si="2"/>
        <v>0.005475650308799066</v>
      </c>
      <c r="K36" s="471">
        <v>8</v>
      </c>
      <c r="L36" s="472">
        <f t="shared" si="3"/>
        <v>0.0008</v>
      </c>
      <c r="M36" s="473">
        <f t="shared" si="7"/>
        <v>4.423449345460237</v>
      </c>
      <c r="N36" s="474">
        <f t="shared" si="8"/>
        <v>0.005475650308799066</v>
      </c>
      <c r="O36" s="471">
        <v>8</v>
      </c>
      <c r="P36" s="472">
        <f t="shared" si="4"/>
        <v>0.0008</v>
      </c>
      <c r="Q36" s="473">
        <f t="shared" si="5"/>
        <v>4.423449345460237</v>
      </c>
      <c r="R36" s="475">
        <f t="shared" si="6"/>
        <v>0.005475650308799066</v>
      </c>
    </row>
    <row r="37" spans="1:18" ht="12.75" customHeight="1">
      <c r="A37" s="468">
        <v>16</v>
      </c>
      <c r="B37" s="469" t="s">
        <v>60</v>
      </c>
      <c r="C37" s="469" t="s">
        <v>53</v>
      </c>
      <c r="D37" s="469" t="s">
        <v>61</v>
      </c>
      <c r="E37" s="469" t="s">
        <v>60</v>
      </c>
      <c r="F37" s="470"/>
      <c r="G37" s="471">
        <v>0</v>
      </c>
      <c r="H37" s="472">
        <f t="shared" si="0"/>
        <v>0</v>
      </c>
      <c r="I37" s="473">
        <f t="shared" si="1"/>
        <v>4.5</v>
      </c>
      <c r="J37" s="474">
        <f t="shared" si="2"/>
        <v>0</v>
      </c>
      <c r="K37" s="471">
        <v>260</v>
      </c>
      <c r="L37" s="472">
        <f t="shared" si="3"/>
        <v>0.026</v>
      </c>
      <c r="M37" s="473">
        <f t="shared" si="7"/>
        <v>4.104280348219193</v>
      </c>
      <c r="N37" s="474">
        <f t="shared" si="8"/>
        <v>0.165118230487626</v>
      </c>
      <c r="O37" s="471">
        <v>481</v>
      </c>
      <c r="P37" s="472">
        <f t="shared" si="4"/>
        <v>0.0481</v>
      </c>
      <c r="Q37" s="473">
        <f t="shared" si="5"/>
        <v>3.982822160238171</v>
      </c>
      <c r="R37" s="475">
        <f t="shared" si="6"/>
        <v>0.2964289740348584</v>
      </c>
    </row>
    <row r="38" spans="1:18" ht="12.75" customHeight="1">
      <c r="A38" s="485">
        <v>17</v>
      </c>
      <c r="B38" s="267" t="s">
        <v>62</v>
      </c>
      <c r="C38" s="267" t="s">
        <v>44</v>
      </c>
      <c r="D38" s="267" t="s">
        <v>63</v>
      </c>
      <c r="E38" s="486" t="s">
        <v>64</v>
      </c>
      <c r="F38" s="487"/>
      <c r="G38" s="480">
        <v>295</v>
      </c>
      <c r="H38" s="481">
        <f t="shared" si="0"/>
        <v>0.0295</v>
      </c>
      <c r="I38" s="482">
        <f>I$40</f>
        <v>4.081569796635456</v>
      </c>
      <c r="J38" s="483">
        <f t="shared" si="2"/>
        <v>0.18630902932626814</v>
      </c>
      <c r="K38" s="480">
        <v>295</v>
      </c>
      <c r="L38" s="481">
        <f t="shared" si="3"/>
        <v>0.0295</v>
      </c>
      <c r="M38" s="482">
        <f>M$40</f>
        <v>3.9504846165085175</v>
      </c>
      <c r="N38" s="483">
        <f t="shared" si="8"/>
        <v>0.18032546077657902</v>
      </c>
      <c r="O38" s="480">
        <v>295</v>
      </c>
      <c r="P38" s="481">
        <f t="shared" si="4"/>
        <v>0.0295</v>
      </c>
      <c r="Q38" s="482">
        <f>Q$40</f>
        <v>3.8683183982195652</v>
      </c>
      <c r="R38" s="484">
        <f t="shared" si="6"/>
        <v>0.17657486746675885</v>
      </c>
    </row>
    <row r="39" spans="1:18" ht="12.75" customHeight="1">
      <c r="A39" s="485"/>
      <c r="B39" s="267"/>
      <c r="C39" s="267"/>
      <c r="D39" s="267"/>
      <c r="E39" s="486" t="s">
        <v>60</v>
      </c>
      <c r="F39" s="487"/>
      <c r="G39" s="237">
        <v>0</v>
      </c>
      <c r="H39" s="238">
        <f t="shared" si="0"/>
        <v>0</v>
      </c>
      <c r="I39" s="488">
        <f>I$40</f>
        <v>4.081569796635456</v>
      </c>
      <c r="J39" s="489">
        <f t="shared" si="2"/>
        <v>0</v>
      </c>
      <c r="K39" s="237">
        <v>260</v>
      </c>
      <c r="L39" s="238">
        <f t="shared" si="3"/>
        <v>0.026</v>
      </c>
      <c r="M39" s="488">
        <f>M$40</f>
        <v>3.9504846165085175</v>
      </c>
      <c r="N39" s="489">
        <f t="shared" si="8"/>
        <v>0.15893091458274758</v>
      </c>
      <c r="O39" s="237">
        <v>481</v>
      </c>
      <c r="P39" s="238">
        <f t="shared" si="4"/>
        <v>0.0481</v>
      </c>
      <c r="Q39" s="488">
        <f>Q$40</f>
        <v>3.8683183982195652</v>
      </c>
      <c r="R39" s="490">
        <f t="shared" si="6"/>
        <v>0.2879068178017322</v>
      </c>
    </row>
    <row r="40" spans="1:18" ht="12.75" customHeight="1">
      <c r="A40" s="485"/>
      <c r="B40" s="267"/>
      <c r="C40" s="267"/>
      <c r="D40" s="267"/>
      <c r="E40" s="491" t="s">
        <v>7</v>
      </c>
      <c r="F40" s="492"/>
      <c r="G40" s="501">
        <f>SUM(G38:G39)</f>
        <v>295</v>
      </c>
      <c r="H40" s="502">
        <f t="shared" si="0"/>
        <v>0.0295</v>
      </c>
      <c r="I40" s="503">
        <f t="shared" si="1"/>
        <v>4.081569796635456</v>
      </c>
      <c r="J40" s="504">
        <f t="shared" si="2"/>
        <v>0.18630902932626814</v>
      </c>
      <c r="K40" s="501">
        <f>SUM(K38:K39)</f>
        <v>555</v>
      </c>
      <c r="L40" s="502">
        <f t="shared" si="3"/>
        <v>0.0555</v>
      </c>
      <c r="M40" s="503">
        <f t="shared" si="7"/>
        <v>3.9504846165085175</v>
      </c>
      <c r="N40" s="504">
        <f t="shared" si="8"/>
        <v>0.3392563753593266</v>
      </c>
      <c r="O40" s="501">
        <f>SUM(O38:O39)</f>
        <v>776</v>
      </c>
      <c r="P40" s="502">
        <f t="shared" si="4"/>
        <v>0.0776</v>
      </c>
      <c r="Q40" s="503">
        <f t="shared" si="5"/>
        <v>3.8683183982195652</v>
      </c>
      <c r="R40" s="505">
        <f t="shared" si="6"/>
        <v>0.4644816852684911</v>
      </c>
    </row>
    <row r="41" spans="1:18" ht="12.75" customHeight="1">
      <c r="A41" s="468">
        <v>18</v>
      </c>
      <c r="B41" s="469" t="s">
        <v>65</v>
      </c>
      <c r="C41" s="469" t="s">
        <v>44</v>
      </c>
      <c r="D41" s="469" t="s">
        <v>63</v>
      </c>
      <c r="E41" s="469" t="s">
        <v>65</v>
      </c>
      <c r="F41" s="470">
        <v>1</v>
      </c>
      <c r="G41" s="471">
        <f>364+78</f>
        <v>442</v>
      </c>
      <c r="H41" s="472">
        <f t="shared" si="0"/>
        <v>0.0442</v>
      </c>
      <c r="I41" s="473">
        <f t="shared" si="1"/>
        <v>4.001180660906735</v>
      </c>
      <c r="J41" s="474">
        <f t="shared" si="2"/>
        <v>0.27364977163187904</v>
      </c>
      <c r="K41" s="471">
        <f>364+78</f>
        <v>442</v>
      </c>
      <c r="L41" s="472">
        <f t="shared" si="3"/>
        <v>0.0442</v>
      </c>
      <c r="M41" s="473">
        <f t="shared" si="7"/>
        <v>4.001180660906735</v>
      </c>
      <c r="N41" s="474">
        <f t="shared" si="8"/>
        <v>0.27364977163187904</v>
      </c>
      <c r="O41" s="471">
        <f>364+78</f>
        <v>442</v>
      </c>
      <c r="P41" s="472">
        <f t="shared" si="4"/>
        <v>0.0442</v>
      </c>
      <c r="Q41" s="473">
        <f t="shared" si="5"/>
        <v>4.001180660906735</v>
      </c>
      <c r="R41" s="475">
        <f t="shared" si="6"/>
        <v>0.27364977163187904</v>
      </c>
    </row>
    <row r="42" spans="1:18" ht="12.75" customHeight="1">
      <c r="A42" s="468">
        <v>19</v>
      </c>
      <c r="B42" s="469" t="s">
        <v>66</v>
      </c>
      <c r="C42" s="469" t="s">
        <v>44</v>
      </c>
      <c r="D42" s="469" t="s">
        <v>67</v>
      </c>
      <c r="E42" s="469" t="s">
        <v>66</v>
      </c>
      <c r="F42" s="470">
        <v>2</v>
      </c>
      <c r="G42" s="471">
        <f>421+390</f>
        <v>811</v>
      </c>
      <c r="H42" s="472">
        <f t="shared" si="0"/>
        <v>0.0811</v>
      </c>
      <c r="I42" s="473">
        <f t="shared" si="1"/>
        <v>3.8568190546639176</v>
      </c>
      <c r="J42" s="474">
        <f t="shared" si="2"/>
        <v>0.4839882051725028</v>
      </c>
      <c r="K42" s="471">
        <v>0</v>
      </c>
      <c r="L42" s="472">
        <f t="shared" si="3"/>
        <v>0</v>
      </c>
      <c r="M42" s="473">
        <f t="shared" si="7"/>
        <v>4.5</v>
      </c>
      <c r="N42" s="474">
        <f t="shared" si="8"/>
        <v>0</v>
      </c>
      <c r="O42" s="471">
        <v>0</v>
      </c>
      <c r="P42" s="472">
        <f t="shared" si="4"/>
        <v>0</v>
      </c>
      <c r="Q42" s="473">
        <f t="shared" si="5"/>
        <v>4.5</v>
      </c>
      <c r="R42" s="475">
        <f t="shared" si="6"/>
        <v>0</v>
      </c>
    </row>
    <row r="43" spans="1:18" ht="12.75" customHeight="1">
      <c r="A43" s="432">
        <v>20</v>
      </c>
      <c r="B43" s="469" t="s">
        <v>68</v>
      </c>
      <c r="C43" s="469" t="s">
        <v>69</v>
      </c>
      <c r="D43" s="469" t="s">
        <v>70</v>
      </c>
      <c r="E43" s="507" t="s">
        <v>71</v>
      </c>
      <c r="F43" s="470" t="s">
        <v>430</v>
      </c>
      <c r="G43" s="498">
        <v>0</v>
      </c>
      <c r="H43" s="472">
        <f t="shared" si="0"/>
        <v>0</v>
      </c>
      <c r="I43" s="473">
        <f t="shared" si="1"/>
        <v>4.5</v>
      </c>
      <c r="J43" s="474">
        <f t="shared" si="2"/>
        <v>0</v>
      </c>
      <c r="K43" s="498">
        <f>1178-78-390</f>
        <v>710</v>
      </c>
      <c r="L43" s="472">
        <f t="shared" si="3"/>
        <v>0.071</v>
      </c>
      <c r="M43" s="473">
        <f>M$46</f>
        <v>3.663528928225262</v>
      </c>
      <c r="N43" s="474">
        <f t="shared" si="8"/>
        <v>0.40247845164883145</v>
      </c>
      <c r="O43" s="498">
        <f>'Sheet 4-13'!W81</f>
        <v>3497</v>
      </c>
      <c r="P43" s="472">
        <f t="shared" si="4"/>
        <v>0.3497</v>
      </c>
      <c r="Q43" s="473">
        <f>Q$46</f>
        <v>3.2991306074699915</v>
      </c>
      <c r="R43" s="475">
        <f t="shared" si="6"/>
        <v>1.7851709085837788</v>
      </c>
    </row>
    <row r="44" spans="1:19" ht="12.75" customHeight="1">
      <c r="A44" s="485"/>
      <c r="B44" s="267"/>
      <c r="C44" s="267"/>
      <c r="D44" s="267"/>
      <c r="E44" s="486" t="s">
        <v>72</v>
      </c>
      <c r="F44" s="487"/>
      <c r="G44" s="480">
        <v>0</v>
      </c>
      <c r="H44" s="481">
        <f t="shared" si="0"/>
        <v>0</v>
      </c>
      <c r="I44" s="482">
        <f t="shared" si="1"/>
        <v>4.5</v>
      </c>
      <c r="J44" s="483">
        <f t="shared" si="2"/>
        <v>0</v>
      </c>
      <c r="K44" s="480">
        <v>0</v>
      </c>
      <c r="L44" s="481">
        <f t="shared" si="3"/>
        <v>0</v>
      </c>
      <c r="M44" s="482">
        <f>M$46</f>
        <v>3.663528928225262</v>
      </c>
      <c r="N44" s="483">
        <f t="shared" si="8"/>
        <v>0</v>
      </c>
      <c r="O44" s="480">
        <v>0</v>
      </c>
      <c r="P44" s="481">
        <f t="shared" si="4"/>
        <v>0</v>
      </c>
      <c r="Q44" s="482">
        <f>Q$46</f>
        <v>3.2991306074699915</v>
      </c>
      <c r="R44" s="484">
        <f t="shared" si="6"/>
        <v>0</v>
      </c>
      <c r="S44" s="448" t="s">
        <v>431</v>
      </c>
    </row>
    <row r="45" spans="1:18" ht="12.75" customHeight="1">
      <c r="A45" s="485"/>
      <c r="B45" s="267"/>
      <c r="C45" s="267"/>
      <c r="D45" s="267"/>
      <c r="E45" s="486" t="s">
        <v>66</v>
      </c>
      <c r="F45" s="510">
        <v>2</v>
      </c>
      <c r="G45" s="499">
        <v>0</v>
      </c>
      <c r="H45" s="236">
        <f t="shared" si="0"/>
        <v>0</v>
      </c>
      <c r="I45" s="224">
        <f t="shared" si="1"/>
        <v>4.5</v>
      </c>
      <c r="J45" s="500">
        <f t="shared" si="2"/>
        <v>0</v>
      </c>
      <c r="K45" s="499">
        <f>478+390</f>
        <v>868</v>
      </c>
      <c r="L45" s="236">
        <f t="shared" si="3"/>
        <v>0.0868</v>
      </c>
      <c r="M45" s="224">
        <f>M$46</f>
        <v>3.663528928225262</v>
      </c>
      <c r="N45" s="500">
        <f t="shared" si="8"/>
        <v>0.49204407891716295</v>
      </c>
      <c r="O45" s="499">
        <f>'Sheet 4-13'!O81</f>
        <v>868</v>
      </c>
      <c r="P45" s="236">
        <f t="shared" si="4"/>
        <v>0.0868</v>
      </c>
      <c r="Q45" s="224">
        <f>Q$46</f>
        <v>3.2991306074699915</v>
      </c>
      <c r="R45" s="509">
        <f t="shared" si="6"/>
        <v>0.44310218720352307</v>
      </c>
    </row>
    <row r="46" spans="1:18" ht="12.75" customHeight="1">
      <c r="A46" s="485"/>
      <c r="B46" s="267"/>
      <c r="C46" s="267"/>
      <c r="D46" s="267"/>
      <c r="E46" s="491" t="s">
        <v>7</v>
      </c>
      <c r="F46" s="492"/>
      <c r="G46" s="501">
        <f>SUM(G43:G45)</f>
        <v>0</v>
      </c>
      <c r="H46" s="502">
        <f t="shared" si="0"/>
        <v>0</v>
      </c>
      <c r="I46" s="503">
        <f t="shared" si="1"/>
        <v>4.5</v>
      </c>
      <c r="J46" s="504">
        <f t="shared" si="2"/>
        <v>0</v>
      </c>
      <c r="K46" s="501">
        <f>SUM(K43:K45)</f>
        <v>1578</v>
      </c>
      <c r="L46" s="502">
        <f t="shared" si="3"/>
        <v>0.1578</v>
      </c>
      <c r="M46" s="503">
        <f t="shared" si="7"/>
        <v>3.663528928225262</v>
      </c>
      <c r="N46" s="504">
        <f t="shared" si="8"/>
        <v>0.8945225305659943</v>
      </c>
      <c r="O46" s="501">
        <f>SUM(O42:O45)</f>
        <v>4365</v>
      </c>
      <c r="P46" s="502">
        <f t="shared" si="4"/>
        <v>0.4365</v>
      </c>
      <c r="Q46" s="503">
        <f t="shared" si="5"/>
        <v>3.2991306074699915</v>
      </c>
      <c r="R46" s="505">
        <f t="shared" si="6"/>
        <v>2.2282730957873023</v>
      </c>
    </row>
    <row r="47" spans="1:18" ht="12.75" customHeight="1">
      <c r="A47" s="468">
        <v>21</v>
      </c>
      <c r="B47" s="469" t="s">
        <v>60</v>
      </c>
      <c r="C47" s="469" t="s">
        <v>44</v>
      </c>
      <c r="D47" s="469" t="s">
        <v>73</v>
      </c>
      <c r="E47" s="469" t="s">
        <v>60</v>
      </c>
      <c r="F47" s="470">
        <v>6</v>
      </c>
      <c r="G47" s="522">
        <v>0</v>
      </c>
      <c r="H47" s="516">
        <f t="shared" si="0"/>
        <v>0</v>
      </c>
      <c r="I47" s="523">
        <f t="shared" si="1"/>
        <v>4.5</v>
      </c>
      <c r="J47" s="524">
        <f t="shared" si="2"/>
        <v>0</v>
      </c>
      <c r="K47" s="522">
        <f>717-717</f>
        <v>0</v>
      </c>
      <c r="L47" s="516">
        <f t="shared" si="3"/>
        <v>0</v>
      </c>
      <c r="M47" s="523">
        <f t="shared" si="7"/>
        <v>4.5</v>
      </c>
      <c r="N47" s="524">
        <f t="shared" si="8"/>
        <v>0</v>
      </c>
      <c r="O47" s="522">
        <f>795-795</f>
        <v>0</v>
      </c>
      <c r="P47" s="516">
        <f t="shared" si="4"/>
        <v>0</v>
      </c>
      <c r="Q47" s="523">
        <f t="shared" si="5"/>
        <v>4.5</v>
      </c>
      <c r="R47" s="525">
        <f t="shared" si="6"/>
        <v>0</v>
      </c>
    </row>
    <row r="48" spans="1:18" ht="12.75" customHeight="1">
      <c r="A48" s="468">
        <v>22</v>
      </c>
      <c r="B48" s="469" t="s">
        <v>487</v>
      </c>
      <c r="C48" s="469" t="s">
        <v>44</v>
      </c>
      <c r="D48" s="469" t="s">
        <v>74</v>
      </c>
      <c r="E48" s="469" t="s">
        <v>60</v>
      </c>
      <c r="F48" s="470">
        <v>6</v>
      </c>
      <c r="G48" s="471">
        <v>0</v>
      </c>
      <c r="H48" s="472">
        <f t="shared" si="0"/>
        <v>0</v>
      </c>
      <c r="I48" s="473">
        <f t="shared" si="1"/>
        <v>4.5</v>
      </c>
      <c r="J48" s="474">
        <f t="shared" si="2"/>
        <v>0</v>
      </c>
      <c r="K48" s="471">
        <f>130+717</f>
        <v>847</v>
      </c>
      <c r="L48" s="472">
        <f t="shared" si="3"/>
        <v>0.0847</v>
      </c>
      <c r="M48" s="473">
        <f t="shared" si="7"/>
        <v>3.845339905720005</v>
      </c>
      <c r="N48" s="474">
        <f t="shared" si="8"/>
        <v>0.5039678185260764</v>
      </c>
      <c r="O48" s="471">
        <f>260+795</f>
        <v>1055</v>
      </c>
      <c r="P48" s="472">
        <f t="shared" si="4"/>
        <v>0.1055</v>
      </c>
      <c r="Q48" s="473">
        <f t="shared" si="5"/>
        <v>3.7848881225211177</v>
      </c>
      <c r="R48" s="475">
        <f t="shared" si="6"/>
        <v>0.6178601222488023</v>
      </c>
    </row>
    <row r="49" spans="1:18" ht="12.75" customHeight="1">
      <c r="A49" s="468">
        <v>23</v>
      </c>
      <c r="B49" s="469" t="s">
        <v>75</v>
      </c>
      <c r="C49" s="469" t="s">
        <v>44</v>
      </c>
      <c r="D49" s="469" t="s">
        <v>76</v>
      </c>
      <c r="E49" s="469" t="s">
        <v>75</v>
      </c>
      <c r="F49" s="470"/>
      <c r="G49" s="471">
        <v>20</v>
      </c>
      <c r="H49" s="472">
        <f t="shared" si="0"/>
        <v>0.002</v>
      </c>
      <c r="I49" s="473">
        <f t="shared" si="1"/>
        <v>4.380481915686963</v>
      </c>
      <c r="J49" s="474">
        <f t="shared" si="2"/>
        <v>0.013556155661043534</v>
      </c>
      <c r="K49" s="471">
        <v>20</v>
      </c>
      <c r="L49" s="472">
        <f t="shared" si="3"/>
        <v>0.002</v>
      </c>
      <c r="M49" s="473">
        <f t="shared" si="7"/>
        <v>4.380481915686963</v>
      </c>
      <c r="N49" s="474">
        <f t="shared" si="8"/>
        <v>0.013556155661043534</v>
      </c>
      <c r="O49" s="471">
        <v>20</v>
      </c>
      <c r="P49" s="472">
        <f t="shared" si="4"/>
        <v>0.002</v>
      </c>
      <c r="Q49" s="473">
        <f t="shared" si="5"/>
        <v>4.380481915686963</v>
      </c>
      <c r="R49" s="475">
        <f t="shared" si="6"/>
        <v>0.013556155661043534</v>
      </c>
    </row>
    <row r="50" spans="1:18" ht="12.75" customHeight="1">
      <c r="A50" s="468">
        <v>24</v>
      </c>
      <c r="B50" s="469" t="s">
        <v>60</v>
      </c>
      <c r="C50" s="469" t="s">
        <v>75</v>
      </c>
      <c r="D50" s="469" t="s">
        <v>77</v>
      </c>
      <c r="E50" s="469" t="s">
        <v>60</v>
      </c>
      <c r="F50" s="470"/>
      <c r="G50" s="471">
        <v>0</v>
      </c>
      <c r="H50" s="472">
        <f t="shared" si="0"/>
        <v>0</v>
      </c>
      <c r="I50" s="473">
        <f t="shared" si="1"/>
        <v>4.5</v>
      </c>
      <c r="J50" s="474">
        <f t="shared" si="2"/>
        <v>0</v>
      </c>
      <c r="K50" s="471">
        <v>0</v>
      </c>
      <c r="L50" s="472">
        <f t="shared" si="3"/>
        <v>0</v>
      </c>
      <c r="M50" s="473">
        <f t="shared" si="7"/>
        <v>4.5</v>
      </c>
      <c r="N50" s="474">
        <f t="shared" si="8"/>
        <v>0</v>
      </c>
      <c r="O50" s="471">
        <v>0</v>
      </c>
      <c r="P50" s="472">
        <f t="shared" si="4"/>
        <v>0</v>
      </c>
      <c r="Q50" s="473">
        <f t="shared" si="5"/>
        <v>4.5</v>
      </c>
      <c r="R50" s="475">
        <f t="shared" si="6"/>
        <v>0</v>
      </c>
    </row>
    <row r="51" spans="1:18" ht="12.75" customHeight="1">
      <c r="A51" s="485">
        <v>25</v>
      </c>
      <c r="B51" s="267" t="s">
        <v>75</v>
      </c>
      <c r="C51" s="267" t="s">
        <v>44</v>
      </c>
      <c r="D51" s="267" t="s">
        <v>78</v>
      </c>
      <c r="E51" s="478" t="s">
        <v>79</v>
      </c>
      <c r="F51" s="479"/>
      <c r="G51" s="480">
        <v>117</v>
      </c>
      <c r="H51" s="481">
        <f t="shared" si="0"/>
        <v>0.0117</v>
      </c>
      <c r="I51" s="482">
        <f t="shared" si="1"/>
        <v>4.224281509449324</v>
      </c>
      <c r="J51" s="483">
        <f t="shared" si="2"/>
        <v>0.07647568463519555</v>
      </c>
      <c r="K51" s="480">
        <v>1777</v>
      </c>
      <c r="L51" s="481">
        <f t="shared" si="3"/>
        <v>0.1777</v>
      </c>
      <c r="M51" s="482">
        <f t="shared" si="7"/>
        <v>3.625143578245024</v>
      </c>
      <c r="N51" s="483">
        <f t="shared" si="8"/>
        <v>0.9967753729917755</v>
      </c>
      <c r="O51" s="480">
        <v>2115</v>
      </c>
      <c r="P51" s="481">
        <f t="shared" si="4"/>
        <v>0.2115</v>
      </c>
      <c r="Q51" s="482">
        <f t="shared" si="5"/>
        <v>3.566780309603991</v>
      </c>
      <c r="R51" s="484">
        <f t="shared" si="6"/>
        <v>1.167270182649479</v>
      </c>
    </row>
    <row r="52" spans="1:18" ht="12.75" customHeight="1">
      <c r="A52" s="485"/>
      <c r="B52" s="267"/>
      <c r="C52" s="267"/>
      <c r="D52" s="267"/>
      <c r="E52" s="392" t="s">
        <v>60</v>
      </c>
      <c r="F52" s="506"/>
      <c r="G52" s="237">
        <v>0</v>
      </c>
      <c r="H52" s="238">
        <f t="shared" si="0"/>
        <v>0</v>
      </c>
      <c r="I52" s="488">
        <f t="shared" si="1"/>
        <v>4.5</v>
      </c>
      <c r="J52" s="489">
        <f t="shared" si="2"/>
        <v>0</v>
      </c>
      <c r="K52" s="237">
        <v>660</v>
      </c>
      <c r="L52" s="238">
        <f t="shared" si="3"/>
        <v>0.066</v>
      </c>
      <c r="M52" s="488">
        <f t="shared" si="7"/>
        <v>3.9091490373865483</v>
      </c>
      <c r="N52" s="489">
        <f t="shared" si="8"/>
        <v>0.39921865169388776</v>
      </c>
      <c r="O52" s="237">
        <v>660</v>
      </c>
      <c r="P52" s="238">
        <f t="shared" si="4"/>
        <v>0.066</v>
      </c>
      <c r="Q52" s="488">
        <f t="shared" si="5"/>
        <v>3.9091490373865483</v>
      </c>
      <c r="R52" s="490">
        <f t="shared" si="6"/>
        <v>0.39921865169388776</v>
      </c>
    </row>
    <row r="53" spans="1:18" ht="12.75" customHeight="1">
      <c r="A53" s="485"/>
      <c r="B53" s="267"/>
      <c r="C53" s="267"/>
      <c r="D53" s="267"/>
      <c r="E53" s="491" t="s">
        <v>7</v>
      </c>
      <c r="F53" s="492"/>
      <c r="G53" s="501">
        <f>SUM(G51:G52)</f>
        <v>117</v>
      </c>
      <c r="H53" s="502">
        <f t="shared" si="0"/>
        <v>0.0117</v>
      </c>
      <c r="I53" s="503">
        <f t="shared" si="1"/>
        <v>4.224281509449324</v>
      </c>
      <c r="J53" s="504">
        <f t="shared" si="2"/>
        <v>0.07647568463519555</v>
      </c>
      <c r="K53" s="501">
        <f>SUM(K51:K52)</f>
        <v>2437</v>
      </c>
      <c r="L53" s="502">
        <f t="shared" si="3"/>
        <v>0.2437</v>
      </c>
      <c r="M53" s="503">
        <f t="shared" si="7"/>
        <v>3.5174923626582957</v>
      </c>
      <c r="N53" s="504">
        <f t="shared" si="8"/>
        <v>1.3263964534744297</v>
      </c>
      <c r="O53" s="501">
        <f>SUM(O51:O52)</f>
        <v>2775</v>
      </c>
      <c r="P53" s="502">
        <f t="shared" si="4"/>
        <v>0.2775</v>
      </c>
      <c r="Q53" s="503">
        <f t="shared" si="5"/>
        <v>3.470951701433592</v>
      </c>
      <c r="R53" s="505">
        <f t="shared" si="6"/>
        <v>1.4903772670761255</v>
      </c>
    </row>
    <row r="54" spans="1:18" ht="12.75" customHeight="1">
      <c r="A54" s="468">
        <v>26</v>
      </c>
      <c r="B54" s="469" t="s">
        <v>60</v>
      </c>
      <c r="C54" s="469" t="s">
        <v>44</v>
      </c>
      <c r="D54" s="469" t="s">
        <v>80</v>
      </c>
      <c r="E54" s="469" t="s">
        <v>60</v>
      </c>
      <c r="F54" s="470"/>
      <c r="G54" s="471">
        <v>0</v>
      </c>
      <c r="H54" s="472">
        <f t="shared" si="0"/>
        <v>0</v>
      </c>
      <c r="I54" s="473">
        <f t="shared" si="1"/>
        <v>4.5</v>
      </c>
      <c r="J54" s="474">
        <f t="shared" si="2"/>
        <v>0</v>
      </c>
      <c r="K54" s="471">
        <v>117</v>
      </c>
      <c r="L54" s="472">
        <f t="shared" si="3"/>
        <v>0.0117</v>
      </c>
      <c r="M54" s="473">
        <f t="shared" si="7"/>
        <v>4.224281509449324</v>
      </c>
      <c r="N54" s="474">
        <f t="shared" si="8"/>
        <v>0.07647568463519555</v>
      </c>
      <c r="O54" s="471">
        <v>312</v>
      </c>
      <c r="P54" s="472">
        <f t="shared" si="4"/>
        <v>0.0312</v>
      </c>
      <c r="Q54" s="473">
        <f t="shared" si="5"/>
        <v>4.07113880516888</v>
      </c>
      <c r="R54" s="475">
        <f t="shared" si="6"/>
        <v>0.1965419060724727</v>
      </c>
    </row>
    <row r="55" spans="1:18" ht="12.75" customHeight="1">
      <c r="A55" s="468">
        <v>27</v>
      </c>
      <c r="B55" s="507" t="s">
        <v>81</v>
      </c>
      <c r="C55" s="507" t="s">
        <v>82</v>
      </c>
      <c r="D55" s="507" t="s">
        <v>83</v>
      </c>
      <c r="E55" s="507" t="s">
        <v>84</v>
      </c>
      <c r="F55" s="508"/>
      <c r="G55" s="498">
        <v>0</v>
      </c>
      <c r="H55" s="472">
        <f t="shared" si="0"/>
        <v>0</v>
      </c>
      <c r="I55" s="473">
        <f t="shared" si="1"/>
        <v>4.5</v>
      </c>
      <c r="J55" s="474">
        <f t="shared" si="2"/>
        <v>0</v>
      </c>
      <c r="K55" s="498">
        <v>3453</v>
      </c>
      <c r="L55" s="472">
        <f t="shared" si="3"/>
        <v>0.3453</v>
      </c>
      <c r="M55" s="473">
        <f t="shared" si="7"/>
        <v>3.3898023884123507</v>
      </c>
      <c r="N55" s="474">
        <f t="shared" si="8"/>
        <v>1.8111550008646278</v>
      </c>
      <c r="O55" s="498">
        <v>6548</v>
      </c>
      <c r="P55" s="472">
        <f t="shared" si="4"/>
        <v>0.6548</v>
      </c>
      <c r="Q55" s="473">
        <f t="shared" si="5"/>
        <v>3.1345023034808737</v>
      </c>
      <c r="R55" s="475">
        <f t="shared" si="6"/>
        <v>3.175864200088007</v>
      </c>
    </row>
    <row r="56" spans="1:18" ht="12.75" customHeight="1">
      <c r="A56" s="468">
        <v>28</v>
      </c>
      <c r="B56" s="507" t="s">
        <v>85</v>
      </c>
      <c r="C56" s="507" t="s">
        <v>86</v>
      </c>
      <c r="D56" s="507" t="s">
        <v>87</v>
      </c>
      <c r="E56" s="507" t="s">
        <v>85</v>
      </c>
      <c r="F56" s="508"/>
      <c r="G56" s="498">
        <v>0</v>
      </c>
      <c r="H56" s="472">
        <f t="shared" si="0"/>
        <v>0</v>
      </c>
      <c r="I56" s="473">
        <f t="shared" si="1"/>
        <v>4.5</v>
      </c>
      <c r="J56" s="474">
        <f t="shared" si="2"/>
        <v>0</v>
      </c>
      <c r="K56" s="498">
        <v>797</v>
      </c>
      <c r="L56" s="472">
        <f t="shared" si="3"/>
        <v>0.0797</v>
      </c>
      <c r="M56" s="473">
        <f t="shared" si="7"/>
        <v>3.8613773658111716</v>
      </c>
      <c r="N56" s="474">
        <f t="shared" si="8"/>
        <v>0.4761954348248886</v>
      </c>
      <c r="O56" s="498">
        <v>797</v>
      </c>
      <c r="P56" s="472">
        <f t="shared" si="4"/>
        <v>0.0797</v>
      </c>
      <c r="Q56" s="473">
        <f t="shared" si="5"/>
        <v>3.8613773658111716</v>
      </c>
      <c r="R56" s="475">
        <f t="shared" si="6"/>
        <v>0.4761954348248886</v>
      </c>
    </row>
    <row r="57" spans="1:18" ht="12.75" customHeight="1">
      <c r="A57" s="468">
        <v>29</v>
      </c>
      <c r="B57" s="469" t="s">
        <v>88</v>
      </c>
      <c r="C57" s="469" t="s">
        <v>86</v>
      </c>
      <c r="D57" s="469" t="s">
        <v>432</v>
      </c>
      <c r="E57" s="469" t="s">
        <v>88</v>
      </c>
      <c r="F57" s="470"/>
      <c r="G57" s="471">
        <v>782</v>
      </c>
      <c r="H57" s="472">
        <f t="shared" si="0"/>
        <v>0.0782</v>
      </c>
      <c r="I57" s="473">
        <f t="shared" si="1"/>
        <v>3.866322319432046</v>
      </c>
      <c r="J57" s="474">
        <f t="shared" si="2"/>
        <v>0.4678315096114113</v>
      </c>
      <c r="K57" s="471">
        <v>879</v>
      </c>
      <c r="L57" s="472">
        <f t="shared" si="3"/>
        <v>0.0879</v>
      </c>
      <c r="M57" s="473">
        <f t="shared" si="7"/>
        <v>3.835414325683862</v>
      </c>
      <c r="N57" s="474">
        <f t="shared" si="8"/>
        <v>0.5216579384958834</v>
      </c>
      <c r="O57" s="471">
        <v>879</v>
      </c>
      <c r="P57" s="472">
        <f t="shared" si="4"/>
        <v>0.0879</v>
      </c>
      <c r="Q57" s="473">
        <f t="shared" si="5"/>
        <v>3.835414325683862</v>
      </c>
      <c r="R57" s="475">
        <f t="shared" si="6"/>
        <v>0.5216579384958834</v>
      </c>
    </row>
    <row r="58" spans="1:18" ht="12.75" customHeight="1">
      <c r="A58" s="468">
        <v>30</v>
      </c>
      <c r="B58" s="469" t="s">
        <v>60</v>
      </c>
      <c r="C58" s="469" t="s">
        <v>86</v>
      </c>
      <c r="D58" s="469" t="s">
        <v>89</v>
      </c>
      <c r="E58" s="469" t="s">
        <v>60</v>
      </c>
      <c r="F58" s="470"/>
      <c r="G58" s="471">
        <v>0</v>
      </c>
      <c r="H58" s="472">
        <f t="shared" si="0"/>
        <v>0</v>
      </c>
      <c r="I58" s="473">
        <f t="shared" si="1"/>
        <v>4.5</v>
      </c>
      <c r="J58" s="474">
        <f t="shared" si="2"/>
        <v>0</v>
      </c>
      <c r="K58" s="471">
        <v>452</v>
      </c>
      <c r="L58" s="472">
        <f t="shared" si="3"/>
        <v>0.0452</v>
      </c>
      <c r="M58" s="473">
        <f t="shared" si="7"/>
        <v>3.996376875750958</v>
      </c>
      <c r="N58" s="474">
        <f t="shared" si="8"/>
        <v>0.27950496816192455</v>
      </c>
      <c r="O58" s="471">
        <v>660</v>
      </c>
      <c r="P58" s="472">
        <f t="shared" si="4"/>
        <v>0.066</v>
      </c>
      <c r="Q58" s="473">
        <f t="shared" si="5"/>
        <v>3.9091490373865483</v>
      </c>
      <c r="R58" s="475">
        <f t="shared" si="6"/>
        <v>0.39921865169388776</v>
      </c>
    </row>
    <row r="59" spans="1:18" ht="12.75" customHeight="1">
      <c r="A59" s="485">
        <v>31</v>
      </c>
      <c r="B59" s="267" t="s">
        <v>90</v>
      </c>
      <c r="C59" s="267" t="s">
        <v>46</v>
      </c>
      <c r="D59" s="267" t="s">
        <v>91</v>
      </c>
      <c r="E59" s="486" t="s">
        <v>92</v>
      </c>
      <c r="F59" s="487"/>
      <c r="G59" s="480">
        <v>6352</v>
      </c>
      <c r="H59" s="481">
        <f t="shared" si="0"/>
        <v>0.6352</v>
      </c>
      <c r="I59" s="224">
        <f>I$63</f>
        <v>3.098650079402915</v>
      </c>
      <c r="J59" s="483">
        <f t="shared" si="2"/>
        <v>3.0455636797458836</v>
      </c>
      <c r="K59" s="480">
        <v>7097</v>
      </c>
      <c r="L59" s="481">
        <f t="shared" si="3"/>
        <v>0.7097</v>
      </c>
      <c r="M59" s="482">
        <f>M$63</f>
        <v>2.851700501323288</v>
      </c>
      <c r="N59" s="483">
        <f t="shared" si="8"/>
        <v>3.131579034507355</v>
      </c>
      <c r="O59" s="480">
        <v>7768</v>
      </c>
      <c r="P59" s="481">
        <f t="shared" si="4"/>
        <v>0.7768</v>
      </c>
      <c r="Q59" s="482">
        <f>Q$63</f>
        <v>2.732526127656044</v>
      </c>
      <c r="R59" s="484">
        <f t="shared" si="6"/>
        <v>3.284416307627771</v>
      </c>
    </row>
    <row r="60" spans="1:18" ht="12.75" customHeight="1">
      <c r="A60" s="485"/>
      <c r="B60" s="267"/>
      <c r="C60" s="267"/>
      <c r="D60" s="267"/>
      <c r="E60" s="486" t="s">
        <v>86</v>
      </c>
      <c r="F60" s="487"/>
      <c r="G60" s="499">
        <v>0</v>
      </c>
      <c r="H60" s="236">
        <f t="shared" si="0"/>
        <v>0</v>
      </c>
      <c r="I60" s="224">
        <f>I$63</f>
        <v>3.098650079402915</v>
      </c>
      <c r="J60" s="500">
        <f t="shared" si="2"/>
        <v>0</v>
      </c>
      <c r="K60" s="499">
        <v>3453</v>
      </c>
      <c r="L60" s="236">
        <f t="shared" si="3"/>
        <v>0.3453</v>
      </c>
      <c r="M60" s="224">
        <f>M$63</f>
        <v>2.851700501323288</v>
      </c>
      <c r="N60" s="500">
        <f t="shared" si="8"/>
        <v>1.5236497683745098</v>
      </c>
      <c r="O60" s="499">
        <v>6548</v>
      </c>
      <c r="P60" s="236">
        <f t="shared" si="4"/>
        <v>0.6548</v>
      </c>
      <c r="Q60" s="224">
        <f>Q$63</f>
        <v>2.732526127656044</v>
      </c>
      <c r="R60" s="509">
        <f t="shared" si="6"/>
        <v>2.768583674349465</v>
      </c>
    </row>
    <row r="61" spans="1:18" ht="12.75" customHeight="1">
      <c r="A61" s="485"/>
      <c r="B61" s="267"/>
      <c r="C61" s="267"/>
      <c r="D61" s="267"/>
      <c r="E61" s="486" t="s">
        <v>93</v>
      </c>
      <c r="F61" s="487"/>
      <c r="G61" s="499">
        <v>0</v>
      </c>
      <c r="H61" s="236">
        <f t="shared" si="0"/>
        <v>0</v>
      </c>
      <c r="I61" s="224">
        <f>I$63</f>
        <v>3.098650079402915</v>
      </c>
      <c r="J61" s="500">
        <f t="shared" si="2"/>
        <v>0</v>
      </c>
      <c r="K61" s="499">
        <v>452</v>
      </c>
      <c r="L61" s="236">
        <f t="shared" si="3"/>
        <v>0.0452</v>
      </c>
      <c r="M61" s="224">
        <f>M$63</f>
        <v>2.851700501323288</v>
      </c>
      <c r="N61" s="500">
        <f t="shared" si="8"/>
        <v>0.19944676956422777</v>
      </c>
      <c r="O61" s="499">
        <v>660</v>
      </c>
      <c r="P61" s="236">
        <f t="shared" si="4"/>
        <v>0.066</v>
      </c>
      <c r="Q61" s="224">
        <f>Q$63</f>
        <v>2.732526127656044</v>
      </c>
      <c r="R61" s="509">
        <f t="shared" si="6"/>
        <v>0.2790569983308869</v>
      </c>
    </row>
    <row r="62" spans="1:18" ht="12.75" customHeight="1">
      <c r="A62" s="485"/>
      <c r="B62" s="267"/>
      <c r="C62" s="267"/>
      <c r="E62" s="267" t="s">
        <v>88</v>
      </c>
      <c r="F62" s="510"/>
      <c r="G62" s="237">
        <v>782</v>
      </c>
      <c r="H62" s="238">
        <f t="shared" si="0"/>
        <v>0.0782</v>
      </c>
      <c r="I62" s="488">
        <f>I$63</f>
        <v>3.098650079402915</v>
      </c>
      <c r="J62" s="489">
        <f t="shared" si="2"/>
        <v>0.374941876190378</v>
      </c>
      <c r="K62" s="237">
        <v>1676</v>
      </c>
      <c r="L62" s="238">
        <f t="shared" si="3"/>
        <v>0.1676</v>
      </c>
      <c r="M62" s="488">
        <f>M$63</f>
        <v>2.851700501323288</v>
      </c>
      <c r="N62" s="489">
        <f t="shared" si="8"/>
        <v>0.7395415614815171</v>
      </c>
      <c r="O62" s="237">
        <v>1676</v>
      </c>
      <c r="P62" s="238">
        <f t="shared" si="4"/>
        <v>0.1676</v>
      </c>
      <c r="Q62" s="488">
        <f>Q$63</f>
        <v>2.732526127656044</v>
      </c>
      <c r="R62" s="490">
        <f t="shared" si="6"/>
        <v>0.7086356503069188</v>
      </c>
    </row>
    <row r="63" spans="1:18" ht="12.75" customHeight="1">
      <c r="A63" s="485"/>
      <c r="B63" s="267"/>
      <c r="C63" s="267"/>
      <c r="D63" s="267"/>
      <c r="E63" s="491" t="s">
        <v>7</v>
      </c>
      <c r="F63" s="492"/>
      <c r="G63" s="501">
        <f>SUM(G58:G62)</f>
        <v>7134</v>
      </c>
      <c r="H63" s="502">
        <f t="shared" si="0"/>
        <v>0.7134</v>
      </c>
      <c r="I63" s="503">
        <f t="shared" si="1"/>
        <v>3.098650079402915</v>
      </c>
      <c r="J63" s="504">
        <f t="shared" si="2"/>
        <v>3.420505555936262</v>
      </c>
      <c r="K63" s="501">
        <f>SUM(K59:K62)</f>
        <v>12678</v>
      </c>
      <c r="L63" s="502">
        <f t="shared" si="3"/>
        <v>1.2678</v>
      </c>
      <c r="M63" s="503">
        <f t="shared" si="7"/>
        <v>2.851700501323288</v>
      </c>
      <c r="N63" s="504">
        <f t="shared" si="8"/>
        <v>5.59421713392761</v>
      </c>
      <c r="O63" s="501">
        <f>SUM(O59:O62)</f>
        <v>16652</v>
      </c>
      <c r="P63" s="502">
        <f t="shared" si="4"/>
        <v>1.6652</v>
      </c>
      <c r="Q63" s="503">
        <f t="shared" si="5"/>
        <v>2.732526127656044</v>
      </c>
      <c r="R63" s="505">
        <f t="shared" si="6"/>
        <v>7.040692630615042</v>
      </c>
    </row>
    <row r="64" spans="1:18" ht="12.75" customHeight="1">
      <c r="A64" s="468">
        <v>32</v>
      </c>
      <c r="B64" s="469" t="s">
        <v>94</v>
      </c>
      <c r="C64" s="469" t="s">
        <v>95</v>
      </c>
      <c r="D64" s="469" t="s">
        <v>96</v>
      </c>
      <c r="E64" s="469" t="s">
        <v>86</v>
      </c>
      <c r="F64" s="470"/>
      <c r="G64" s="471">
        <v>52</v>
      </c>
      <c r="H64" s="472">
        <f t="shared" si="0"/>
        <v>0.0052</v>
      </c>
      <c r="I64" s="473">
        <f t="shared" si="1"/>
        <v>4.311230800709958</v>
      </c>
      <c r="J64" s="474">
        <f t="shared" si="2"/>
        <v>0.034688800015615376</v>
      </c>
      <c r="K64" s="471">
        <v>52</v>
      </c>
      <c r="L64" s="472">
        <f t="shared" si="3"/>
        <v>0.0052</v>
      </c>
      <c r="M64" s="473">
        <f t="shared" si="7"/>
        <v>4.311230800709958</v>
      </c>
      <c r="N64" s="474">
        <f t="shared" si="8"/>
        <v>0.034688800015615376</v>
      </c>
      <c r="O64" s="471">
        <v>52</v>
      </c>
      <c r="P64" s="472">
        <f t="shared" si="4"/>
        <v>0.0052</v>
      </c>
      <c r="Q64" s="473">
        <f t="shared" si="5"/>
        <v>4.311230800709958</v>
      </c>
      <c r="R64" s="475">
        <f t="shared" si="6"/>
        <v>0.034688800015615376</v>
      </c>
    </row>
    <row r="65" spans="1:18" ht="12.75" customHeight="1">
      <c r="A65" s="485">
        <v>33</v>
      </c>
      <c r="B65" s="267" t="s">
        <v>95</v>
      </c>
      <c r="C65" s="267" t="s">
        <v>46</v>
      </c>
      <c r="D65" s="267" t="s">
        <v>97</v>
      </c>
      <c r="E65" s="486" t="s">
        <v>98</v>
      </c>
      <c r="F65" s="487"/>
      <c r="G65" s="480">
        <v>1349</v>
      </c>
      <c r="H65" s="481">
        <f t="shared" si="0"/>
        <v>0.1349</v>
      </c>
      <c r="I65" s="482">
        <f>I$67</f>
        <v>3.7008056430990934</v>
      </c>
      <c r="J65" s="483">
        <f t="shared" si="2"/>
        <v>0.7724900370959406</v>
      </c>
      <c r="K65" s="480">
        <v>2376</v>
      </c>
      <c r="L65" s="481">
        <f t="shared" si="3"/>
        <v>0.2376</v>
      </c>
      <c r="M65" s="482">
        <f>M$67</f>
        <v>3.518799195219839</v>
      </c>
      <c r="N65" s="483">
        <f t="shared" si="8"/>
        <v>1.2936761747131762</v>
      </c>
      <c r="O65" s="480">
        <v>2649</v>
      </c>
      <c r="P65" s="481">
        <f t="shared" si="4"/>
        <v>0.2649</v>
      </c>
      <c r="Q65" s="482">
        <f>Q$67</f>
        <v>3.4807423802409394</v>
      </c>
      <c r="R65" s="484">
        <f t="shared" si="6"/>
        <v>1.426719177878393</v>
      </c>
    </row>
    <row r="66" spans="1:18" ht="12.75" customHeight="1">
      <c r="A66" s="485"/>
      <c r="B66" s="267"/>
      <c r="C66" s="267"/>
      <c r="D66" s="267"/>
      <c r="E66" s="486" t="s">
        <v>86</v>
      </c>
      <c r="F66" s="487"/>
      <c r="G66" s="499">
        <v>52</v>
      </c>
      <c r="H66" s="236">
        <f t="shared" si="0"/>
        <v>0.0052</v>
      </c>
      <c r="I66" s="224">
        <f>I$67</f>
        <v>3.7008056430990934</v>
      </c>
      <c r="J66" s="500">
        <f t="shared" si="2"/>
        <v>0.0297772290059221</v>
      </c>
      <c r="K66" s="499">
        <v>52</v>
      </c>
      <c r="L66" s="236">
        <f t="shared" si="3"/>
        <v>0.0052</v>
      </c>
      <c r="M66" s="224">
        <f>M$67</f>
        <v>3.518799195219839</v>
      </c>
      <c r="N66" s="500">
        <f t="shared" si="8"/>
        <v>0.02831277823446345</v>
      </c>
      <c r="O66" s="499">
        <v>52</v>
      </c>
      <c r="P66" s="236">
        <f t="shared" si="4"/>
        <v>0.0052</v>
      </c>
      <c r="Q66" s="224">
        <f>Q$67</f>
        <v>3.4807423802409394</v>
      </c>
      <c r="R66" s="509">
        <f t="shared" si="6"/>
        <v>0.02800656747817155</v>
      </c>
    </row>
    <row r="67" spans="1:18" ht="12.75" customHeight="1">
      <c r="A67" s="466"/>
      <c r="B67" s="392"/>
      <c r="C67" s="392"/>
      <c r="D67" s="392"/>
      <c r="E67" s="511" t="s">
        <v>7</v>
      </c>
      <c r="F67" s="512"/>
      <c r="G67" s="501">
        <f>SUM(G65:G66)</f>
        <v>1401</v>
      </c>
      <c r="H67" s="502">
        <f>G67*100/1000000</f>
        <v>0.1401</v>
      </c>
      <c r="I67" s="503">
        <f>(18+POWER(G67/1000,0.5))/(4+POWER(G67/1000,0.5))</f>
        <v>3.7008056430990934</v>
      </c>
      <c r="J67" s="504">
        <f>I67*G67*100/(7.48*24*60*60)</f>
        <v>0.8022672661018627</v>
      </c>
      <c r="K67" s="501">
        <f>SUM(K65:K66)</f>
        <v>2428</v>
      </c>
      <c r="L67" s="502">
        <f>K67*100/1000000</f>
        <v>0.2428</v>
      </c>
      <c r="M67" s="503">
        <f>(18+POWER(K67/1000,0.5))/(4+POWER(K67/1000,0.5))</f>
        <v>3.518799195219839</v>
      </c>
      <c r="N67" s="504">
        <f>M67*K67*100/(7.48*24*60*60)</f>
        <v>1.3219889529476394</v>
      </c>
      <c r="O67" s="501">
        <f>SUM(O65:O66)</f>
        <v>2701</v>
      </c>
      <c r="P67" s="502">
        <f>O67*100/1000000</f>
        <v>0.2701</v>
      </c>
      <c r="Q67" s="503">
        <f>(18+POWER(O67/1000,0.5))/(4+POWER(O67/1000,0.5))</f>
        <v>3.4807423802409394</v>
      </c>
      <c r="R67" s="505">
        <f t="shared" si="6"/>
        <v>1.4547257453565645</v>
      </c>
    </row>
    <row r="68" spans="1:18" ht="12.75" customHeight="1" thickBot="1">
      <c r="A68" s="526"/>
      <c r="B68" s="527" t="s">
        <v>447</v>
      </c>
      <c r="C68" s="527"/>
      <c r="D68" s="527"/>
      <c r="E68" s="528"/>
      <c r="F68" s="529">
        <v>12</v>
      </c>
      <c r="G68" s="530"/>
      <c r="H68" s="528"/>
      <c r="I68" s="528"/>
      <c r="J68" s="531"/>
      <c r="K68" s="532">
        <v>34</v>
      </c>
      <c r="L68" s="533">
        <f t="shared" si="3"/>
        <v>0.0034</v>
      </c>
      <c r="M68" s="534">
        <f>(18+POWER(K68/1000,0.5))/(4+POWER(K68/1000,0.5))</f>
        <v>4.345767728420267</v>
      </c>
      <c r="N68" s="535">
        <f>M68*K68*100/(7.48*24*60*60)</f>
        <v>0.02286283527157127</v>
      </c>
      <c r="O68" s="532">
        <v>34</v>
      </c>
      <c r="P68" s="533">
        <f>O68*100/1000000</f>
        <v>0.0034</v>
      </c>
      <c r="Q68" s="534">
        <f>(18+POWER(O68/1000,0.5))/(4+POWER(O68/1000,0.5))</f>
        <v>4.345767728420267</v>
      </c>
      <c r="R68" s="536">
        <f t="shared" si="6"/>
        <v>0.02286283527157127</v>
      </c>
    </row>
    <row r="69" spans="2:18" ht="12.75" customHeight="1" thickTop="1">
      <c r="B69" s="267"/>
      <c r="C69" s="267"/>
      <c r="D69" s="267"/>
      <c r="G69"/>
      <c r="I69"/>
      <c r="J69"/>
      <c r="K69" s="1"/>
      <c r="L69" s="236"/>
      <c r="M69" s="224"/>
      <c r="N69" s="236"/>
      <c r="O69" s="1"/>
      <c r="P69" s="236"/>
      <c r="Q69" s="224"/>
      <c r="R69" s="236"/>
    </row>
    <row r="70" spans="1:18" ht="39.75" customHeight="1">
      <c r="A70" s="245" t="s">
        <v>411</v>
      </c>
      <c r="B70" s="341" t="s">
        <v>488</v>
      </c>
      <c r="C70" s="341"/>
      <c r="D70" s="341"/>
      <c r="E70" s="225"/>
      <c r="G70"/>
      <c r="I70"/>
      <c r="J70" s="652" t="s">
        <v>489</v>
      </c>
      <c r="K70" s="652"/>
      <c r="L70" s="236"/>
      <c r="M70" s="224"/>
      <c r="N70" s="236"/>
      <c r="O70" s="1"/>
      <c r="P70" s="236"/>
      <c r="Q70" s="224"/>
      <c r="R70" s="236"/>
    </row>
    <row r="71" spans="10:19" ht="12.75" customHeight="1">
      <c r="J71" t="s">
        <v>453</v>
      </c>
      <c r="K71" s="220">
        <f>K21+K22+K23+K24+K25+K27+K29+K30+SUM(K31:K34)</f>
        <v>9059</v>
      </c>
      <c r="S71" s="448" t="s">
        <v>435</v>
      </c>
    </row>
    <row r="72" spans="1:11" ht="12.75" customHeight="1">
      <c r="A72" s="1">
        <v>1</v>
      </c>
      <c r="B72" t="s">
        <v>433</v>
      </c>
      <c r="J72" t="s">
        <v>452</v>
      </c>
      <c r="K72" s="220">
        <f>+K35+K36+K41+K43+K45+K38+K39</f>
        <v>2596</v>
      </c>
    </row>
    <row r="73" spans="1:11" ht="12.75" customHeight="1">
      <c r="A73" s="1">
        <v>2</v>
      </c>
      <c r="B73" t="s">
        <v>434</v>
      </c>
      <c r="J73" t="s">
        <v>455</v>
      </c>
      <c r="K73" s="220">
        <f>K52+K54+K60+K56+K57+K61+K59+K64+K65</f>
        <v>15883</v>
      </c>
    </row>
    <row r="74" spans="1:11" ht="12.75" customHeight="1">
      <c r="A74" s="1">
        <v>3</v>
      </c>
      <c r="B74" t="s">
        <v>436</v>
      </c>
      <c r="J74" t="s">
        <v>454</v>
      </c>
      <c r="K74" s="513">
        <f>K49+K51+K48+K68</f>
        <v>2678</v>
      </c>
    </row>
    <row r="75" spans="1:12" ht="12.75" customHeight="1">
      <c r="A75" s="1">
        <v>4</v>
      </c>
      <c r="B75" t="s">
        <v>437</v>
      </c>
      <c r="K75" s="220">
        <f>SUM(K71:K74)</f>
        <v>30216</v>
      </c>
      <c r="L75" t="s">
        <v>456</v>
      </c>
    </row>
    <row r="76" spans="1:2" ht="12.75" customHeight="1">
      <c r="A76" s="1">
        <v>5</v>
      </c>
      <c r="B76" t="s">
        <v>438</v>
      </c>
    </row>
    <row r="77" spans="1:2" ht="12.75" customHeight="1">
      <c r="A77" s="1">
        <v>6</v>
      </c>
      <c r="B77" t="s">
        <v>439</v>
      </c>
    </row>
    <row r="78" spans="1:2" ht="12.75" customHeight="1">
      <c r="A78" s="1">
        <v>7</v>
      </c>
      <c r="B78" t="s">
        <v>486</v>
      </c>
    </row>
    <row r="79" spans="1:2" ht="12.75" customHeight="1">
      <c r="A79" s="1">
        <v>8</v>
      </c>
      <c r="B79" t="s">
        <v>440</v>
      </c>
    </row>
    <row r="80" spans="1:2" ht="12.75" customHeight="1">
      <c r="A80" s="1">
        <v>9</v>
      </c>
      <c r="B80" t="s">
        <v>441</v>
      </c>
    </row>
    <row r="81" spans="1:2" ht="12.75" customHeight="1">
      <c r="A81" s="1">
        <v>10</v>
      </c>
      <c r="B81" t="s">
        <v>442</v>
      </c>
    </row>
    <row r="82" spans="1:2" ht="12.75" customHeight="1">
      <c r="A82" s="1">
        <v>11</v>
      </c>
      <c r="B82" t="s">
        <v>443</v>
      </c>
    </row>
    <row r="83" spans="1:17" ht="12.75" customHeight="1">
      <c r="A83" s="1">
        <v>12</v>
      </c>
      <c r="B83" t="s">
        <v>448</v>
      </c>
      <c r="N83" s="1"/>
      <c r="O83" s="236"/>
      <c r="P83" s="224"/>
      <c r="Q83" s="236"/>
    </row>
    <row r="85" spans="15:17" ht="12.75" customHeight="1">
      <c r="O85"/>
      <c r="Q85"/>
    </row>
  </sheetData>
  <sheetProtection/>
  <mergeCells count="5">
    <mergeCell ref="J70:K70"/>
    <mergeCell ref="B3:C4"/>
    <mergeCell ref="H3:I3"/>
    <mergeCell ref="L3:M3"/>
    <mergeCell ref="P3:Q3"/>
  </mergeCells>
  <printOptions/>
  <pageMargins left="0.47" right="0.3" top="0.3" bottom="0.51" header="0.3" footer="0.28"/>
  <pageSetup fitToHeight="2" horizontalDpi="600" verticalDpi="600" orientation="landscape" scale="63" r:id="rId1"/>
  <headerFooter alignWithMargins="0">
    <oddFooter>&amp;L&amp;8Revised:                             6/01/2012
App. by OSG Tech Comm&amp;CPage &amp;P of &amp;N Pages</oddFooter>
  </headerFooter>
  <rowBreaks count="1" manualBreakCount="1">
    <brk id="69" max="255" man="1"/>
  </rowBreaks>
</worksheet>
</file>

<file path=xl/worksheets/sheet10.xml><?xml version="1.0" encoding="utf-8"?>
<worksheet xmlns="http://schemas.openxmlformats.org/spreadsheetml/2006/main" xmlns:r="http://schemas.openxmlformats.org/officeDocument/2006/relationships">
  <sheetPr>
    <pageSetUpPr fitToPage="1"/>
  </sheetPr>
  <dimension ref="A1:AE43"/>
  <sheetViews>
    <sheetView view="pageLayout" zoomScale="0" zoomScaleNormal="85" zoomScaleSheetLayoutView="100" zoomScalePageLayoutView="0" workbookViewId="0" topLeftCell="A1">
      <selection activeCell="G28" sqref="G28"/>
      <selection activeCell="A1" sqref="A1"/>
    </sheetView>
  </sheetViews>
  <sheetFormatPr defaultColWidth="9.140625" defaultRowHeight="12.75"/>
  <cols>
    <col min="2" max="2" width="12.57421875" style="0" customWidth="1"/>
    <col min="3" max="3" width="2.57421875" style="1" customWidth="1"/>
    <col min="4" max="4" width="4.421875" style="1" customWidth="1"/>
    <col min="5" max="5" width="4.28125" style="253" customWidth="1"/>
    <col min="6" max="6" width="5.00390625" style="224" customWidth="1"/>
    <col min="7" max="7" width="5.140625" style="1" customWidth="1"/>
    <col min="8" max="8" width="4.140625" style="0" customWidth="1"/>
    <col min="9" max="9" width="6.421875" style="1" customWidth="1"/>
    <col min="10" max="10" width="4.8515625" style="1" customWidth="1"/>
    <col min="11" max="12" width="4.140625" style="1" customWidth="1"/>
    <col min="13" max="15" width="4.7109375" style="1" customWidth="1"/>
    <col min="16" max="16" width="5.421875" style="1" customWidth="1"/>
    <col min="17" max="17" width="4.7109375" style="239" customWidth="1"/>
    <col min="18" max="18" width="4.7109375" style="236" customWidth="1"/>
    <col min="19" max="30" width="4.7109375" style="239" customWidth="1"/>
    <col min="31" max="31" width="5.421875" style="0" customWidth="1"/>
  </cols>
  <sheetData>
    <row r="1" spans="1:31" ht="14.25">
      <c r="A1" s="88" t="s">
        <v>172</v>
      </c>
      <c r="B1" s="88"/>
      <c r="U1" s="88"/>
      <c r="V1" s="88"/>
      <c r="W1" s="88"/>
      <c r="X1" s="88"/>
      <c r="Y1" s="88"/>
      <c r="Z1" s="88"/>
      <c r="AA1" s="88"/>
      <c r="AB1" s="88"/>
      <c r="AC1" s="551"/>
      <c r="AD1" s="551"/>
      <c r="AE1" s="551"/>
    </row>
    <row r="2" spans="1:31" ht="14.25">
      <c r="A2" s="88" t="s">
        <v>1</v>
      </c>
      <c r="B2" s="88"/>
      <c r="U2"/>
      <c r="V2"/>
      <c r="W2"/>
      <c r="X2"/>
      <c r="Y2"/>
      <c r="Z2"/>
      <c r="AA2"/>
      <c r="AB2"/>
      <c r="AC2" s="551"/>
      <c r="AD2" s="551"/>
      <c r="AE2" s="551"/>
    </row>
    <row r="3" spans="1:2" ht="14.25">
      <c r="A3" s="88" t="s">
        <v>2</v>
      </c>
      <c r="B3" s="88"/>
    </row>
    <row r="4" spans="1:2" ht="14.25">
      <c r="A4" s="88" t="s">
        <v>173</v>
      </c>
      <c r="B4" s="88"/>
    </row>
    <row r="5" spans="1:30" s="225" customFormat="1" ht="12.75">
      <c r="A5" s="69" t="s">
        <v>245</v>
      </c>
      <c r="B5" s="69"/>
      <c r="C5" s="245"/>
      <c r="D5" s="245"/>
      <c r="E5" s="246"/>
      <c r="F5" s="247"/>
      <c r="G5" s="245"/>
      <c r="I5" s="245"/>
      <c r="J5" s="245"/>
      <c r="K5" s="245"/>
      <c r="L5" s="245"/>
      <c r="M5" s="245"/>
      <c r="N5" s="245"/>
      <c r="O5" s="245"/>
      <c r="P5" s="245"/>
      <c r="Q5" s="281"/>
      <c r="R5" s="249"/>
      <c r="S5" s="281"/>
      <c r="T5" s="281"/>
      <c r="U5" s="281"/>
      <c r="V5" s="281"/>
      <c r="W5" s="281"/>
      <c r="X5" s="281"/>
      <c r="Y5" s="281"/>
      <c r="Z5" s="281"/>
      <c r="AA5" s="281"/>
      <c r="AB5" s="281"/>
      <c r="AC5" s="281"/>
      <c r="AD5" s="281"/>
    </row>
    <row r="7" spans="5:31" s="245" customFormat="1" ht="12.75">
      <c r="E7" s="246"/>
      <c r="F7" s="389"/>
      <c r="G7" s="567" t="s">
        <v>44</v>
      </c>
      <c r="I7" s="568" t="s">
        <v>175</v>
      </c>
      <c r="K7" s="41" t="s">
        <v>203</v>
      </c>
      <c r="L7" s="42" t="s">
        <v>204</v>
      </c>
      <c r="M7" s="672" t="s">
        <v>44</v>
      </c>
      <c r="N7" s="673"/>
      <c r="O7" s="670" t="s">
        <v>66</v>
      </c>
      <c r="P7" s="671"/>
      <c r="Q7" s="674" t="s">
        <v>247</v>
      </c>
      <c r="R7" s="674"/>
      <c r="S7" s="675" t="s">
        <v>51</v>
      </c>
      <c r="T7" s="676"/>
      <c r="U7" s="674" t="s">
        <v>178</v>
      </c>
      <c r="V7" s="674"/>
      <c r="W7" s="675" t="s">
        <v>71</v>
      </c>
      <c r="X7" s="676"/>
      <c r="Y7" s="674" t="s">
        <v>65</v>
      </c>
      <c r="Z7" s="674"/>
      <c r="AA7" s="675" t="s">
        <v>139</v>
      </c>
      <c r="AB7" s="676"/>
      <c r="AC7" s="675" t="s">
        <v>208</v>
      </c>
      <c r="AD7" s="676"/>
      <c r="AE7" s="568" t="s">
        <v>7</v>
      </c>
    </row>
    <row r="8" spans="1:31" s="225" customFormat="1" ht="12.75">
      <c r="A8" s="96" t="s">
        <v>179</v>
      </c>
      <c r="B8" s="96"/>
      <c r="C8" s="568" t="s">
        <v>180</v>
      </c>
      <c r="D8" s="568" t="s">
        <v>246</v>
      </c>
      <c r="E8" s="51" t="s">
        <v>182</v>
      </c>
      <c r="F8" s="54" t="s">
        <v>183</v>
      </c>
      <c r="G8" s="567" t="s">
        <v>176</v>
      </c>
      <c r="H8" s="568" t="s">
        <v>249</v>
      </c>
      <c r="I8" s="568" t="s">
        <v>184</v>
      </c>
      <c r="J8" s="568" t="s">
        <v>185</v>
      </c>
      <c r="K8" s="41" t="s">
        <v>204</v>
      </c>
      <c r="L8" s="42" t="s">
        <v>199</v>
      </c>
      <c r="M8" s="567" t="s">
        <v>187</v>
      </c>
      <c r="N8" s="568" t="s">
        <v>238</v>
      </c>
      <c r="O8" s="565" t="s">
        <v>187</v>
      </c>
      <c r="P8" s="566" t="s">
        <v>238</v>
      </c>
      <c r="Q8" s="569" t="s">
        <v>187</v>
      </c>
      <c r="R8" s="569" t="s">
        <v>238</v>
      </c>
      <c r="S8" s="570" t="s">
        <v>187</v>
      </c>
      <c r="T8" s="571" t="s">
        <v>238</v>
      </c>
      <c r="U8" s="569" t="s">
        <v>187</v>
      </c>
      <c r="V8" s="569" t="s">
        <v>238</v>
      </c>
      <c r="W8" s="570" t="s">
        <v>187</v>
      </c>
      <c r="X8" s="571" t="s">
        <v>238</v>
      </c>
      <c r="Y8" s="569" t="s">
        <v>187</v>
      </c>
      <c r="Z8" s="569" t="s">
        <v>238</v>
      </c>
      <c r="AA8" s="570" t="s">
        <v>187</v>
      </c>
      <c r="AB8" s="571" t="s">
        <v>238</v>
      </c>
      <c r="AC8" s="570" t="s">
        <v>187</v>
      </c>
      <c r="AD8" s="571" t="s">
        <v>238</v>
      </c>
      <c r="AE8" s="568" t="s">
        <v>186</v>
      </c>
    </row>
    <row r="9" spans="1:31" s="225" customFormat="1" ht="13.5" thickBot="1">
      <c r="A9" s="97" t="s">
        <v>214</v>
      </c>
      <c r="B9" s="97" t="s">
        <v>215</v>
      </c>
      <c r="C9" s="78" t="s">
        <v>189</v>
      </c>
      <c r="D9" s="78" t="s">
        <v>248</v>
      </c>
      <c r="E9" s="79" t="s">
        <v>202</v>
      </c>
      <c r="F9" s="84" t="s">
        <v>191</v>
      </c>
      <c r="G9" s="81" t="s">
        <v>191</v>
      </c>
      <c r="H9" s="78" t="s">
        <v>192</v>
      </c>
      <c r="I9" s="78" t="s">
        <v>239</v>
      </c>
      <c r="J9" s="78" t="s">
        <v>194</v>
      </c>
      <c r="K9" s="80" t="s">
        <v>191</v>
      </c>
      <c r="L9" s="85" t="s">
        <v>191</v>
      </c>
      <c r="M9" s="343"/>
      <c r="N9" s="78" t="s">
        <v>191</v>
      </c>
      <c r="O9" s="379"/>
      <c r="P9" s="174" t="s">
        <v>191</v>
      </c>
      <c r="Q9" s="150"/>
      <c r="R9" s="150" t="s">
        <v>191</v>
      </c>
      <c r="S9" s="383"/>
      <c r="T9" s="86" t="s">
        <v>191</v>
      </c>
      <c r="U9" s="150"/>
      <c r="V9" s="150" t="s">
        <v>191</v>
      </c>
      <c r="W9" s="383"/>
      <c r="X9" s="86" t="s">
        <v>191</v>
      </c>
      <c r="Y9" s="150"/>
      <c r="Z9" s="150" t="s">
        <v>191</v>
      </c>
      <c r="AA9" s="383"/>
      <c r="AB9" s="86" t="s">
        <v>191</v>
      </c>
      <c r="AC9" s="383"/>
      <c r="AD9" s="86" t="s">
        <v>191</v>
      </c>
      <c r="AE9" s="344"/>
    </row>
    <row r="10" spans="1:31" ht="9.75" customHeight="1" thickTop="1">
      <c r="A10" s="90" t="s">
        <v>255</v>
      </c>
      <c r="B10" s="90" t="s">
        <v>240</v>
      </c>
      <c r="C10" s="29">
        <v>12</v>
      </c>
      <c r="D10" s="29">
        <v>80</v>
      </c>
      <c r="E10" s="33">
        <v>0.0067</v>
      </c>
      <c r="F10" s="62">
        <f>(1.486/0.013)*((3.14*($C10*$C10)/4)/144)*SQRT($E10)*POWER($C10/12/4,2/3)</f>
        <v>2.9148028645597206</v>
      </c>
      <c r="G10" s="30">
        <v>2.41</v>
      </c>
      <c r="H10" s="29">
        <v>1995</v>
      </c>
      <c r="I10" s="56">
        <v>6196</v>
      </c>
      <c r="J10" s="38">
        <f aca="true" t="shared" si="0" ref="J10:J25">(18+SQRT(I10/1000))/(4+SQRT(I10/1000))</f>
        <v>3.15743859756656</v>
      </c>
      <c r="K10" s="62">
        <f aca="true" t="shared" si="1" ref="K10:K25">I10:I10*100*J10/(7.48*24*60*60)</f>
        <v>3.027129374400006</v>
      </c>
      <c r="L10" s="64">
        <f>K10</f>
        <v>3.027129374400006</v>
      </c>
      <c r="M10" s="92">
        <v>5691</v>
      </c>
      <c r="N10" s="36">
        <f aca="true" t="shared" si="2" ref="N10:N25">J10*100*M10/(7.48*24*60*60)</f>
        <v>2.7804056277776685</v>
      </c>
      <c r="O10" s="578"/>
      <c r="P10" s="574">
        <f>J10*100*O10/(7.48*24*60*60)</f>
        <v>0</v>
      </c>
      <c r="Q10" s="68"/>
      <c r="R10" s="36">
        <v>0</v>
      </c>
      <c r="S10" s="573"/>
      <c r="T10" s="574">
        <v>0</v>
      </c>
      <c r="U10" s="68"/>
      <c r="V10" s="36">
        <v>0</v>
      </c>
      <c r="W10" s="573"/>
      <c r="X10" s="384">
        <v>0</v>
      </c>
      <c r="Y10" s="68"/>
      <c r="Z10" s="36">
        <v>0</v>
      </c>
      <c r="AA10" s="573"/>
      <c r="AB10" s="36">
        <v>0</v>
      </c>
      <c r="AC10" s="573"/>
      <c r="AD10" s="574">
        <v>0</v>
      </c>
      <c r="AE10" s="56">
        <f>M10+O10+Q10+S10+U10+W10+Y10+AA10+AC10</f>
        <v>5691</v>
      </c>
    </row>
    <row r="11" spans="2:31" ht="9.75" customHeight="1">
      <c r="B11" s="89" t="s">
        <v>240</v>
      </c>
      <c r="C11" s="29">
        <v>15</v>
      </c>
      <c r="D11" s="29">
        <v>296</v>
      </c>
      <c r="E11" s="33">
        <v>0.0065</v>
      </c>
      <c r="F11" s="62">
        <f aca="true" t="shared" si="3" ref="F11:F25">(1.486/0.013)*((3.14*($C11*$C11)/4)/144)*SQRT($E11)*POWER($C11/12/4,2/3)</f>
        <v>5.205412684029959</v>
      </c>
      <c r="G11" s="30">
        <v>3.26</v>
      </c>
      <c r="H11" s="29">
        <v>1995</v>
      </c>
      <c r="I11" s="56">
        <v>8008</v>
      </c>
      <c r="J11" s="38">
        <f t="shared" si="0"/>
        <v>3.049828104473756</v>
      </c>
      <c r="K11" s="62">
        <f t="shared" si="1"/>
        <v>3.779062602221021</v>
      </c>
      <c r="L11" s="64">
        <f aca="true" t="shared" si="4" ref="L11:L25">K11</f>
        <v>3.779062602221021</v>
      </c>
      <c r="M11" s="92">
        <v>7530</v>
      </c>
      <c r="N11" s="36">
        <f t="shared" si="2"/>
        <v>3.5534891851553803</v>
      </c>
      <c r="O11" s="578"/>
      <c r="P11" s="574">
        <f aca="true" t="shared" si="5" ref="P11:P25">J11*100*O11/(7.48*24*60*60)</f>
        <v>0</v>
      </c>
      <c r="Q11" s="68"/>
      <c r="R11" s="574">
        <v>0</v>
      </c>
      <c r="S11" s="573"/>
      <c r="T11" s="574">
        <v>0</v>
      </c>
      <c r="U11" s="68"/>
      <c r="V11" s="574">
        <v>0</v>
      </c>
      <c r="W11" s="573"/>
      <c r="X11" s="574">
        <v>0</v>
      </c>
      <c r="Y11" s="385"/>
      <c r="Z11" s="574">
        <v>0</v>
      </c>
      <c r="AA11" s="573"/>
      <c r="AB11" s="574">
        <v>0</v>
      </c>
      <c r="AC11" s="573"/>
      <c r="AD11" s="574">
        <v>0</v>
      </c>
      <c r="AE11" s="56">
        <f>M11+O11+Q11+S11+U11+W11+Y11+AA11+AC11</f>
        <v>7530</v>
      </c>
    </row>
    <row r="12" spans="2:31" ht="9.75" customHeight="1">
      <c r="B12" s="386"/>
      <c r="C12" s="29">
        <v>15</v>
      </c>
      <c r="D12" s="29">
        <v>356</v>
      </c>
      <c r="E12" s="33">
        <v>0.0065</v>
      </c>
      <c r="F12" s="62">
        <f t="shared" si="3"/>
        <v>5.205412684029959</v>
      </c>
      <c r="G12" s="30">
        <v>3.26</v>
      </c>
      <c r="H12" s="29">
        <v>1995</v>
      </c>
      <c r="I12" s="56">
        <v>8008</v>
      </c>
      <c r="J12" s="38">
        <f t="shared" si="0"/>
        <v>3.049828104473756</v>
      </c>
      <c r="K12" s="62">
        <f t="shared" si="1"/>
        <v>3.779062602221021</v>
      </c>
      <c r="L12" s="64">
        <f t="shared" si="4"/>
        <v>3.779062602221021</v>
      </c>
      <c r="M12" s="92">
        <v>7530</v>
      </c>
      <c r="N12" s="36">
        <f t="shared" si="2"/>
        <v>3.5534891851553803</v>
      </c>
      <c r="O12" s="578"/>
      <c r="P12" s="574">
        <f t="shared" si="5"/>
        <v>0</v>
      </c>
      <c r="Q12" s="68"/>
      <c r="R12" s="574">
        <v>0</v>
      </c>
      <c r="S12" s="573"/>
      <c r="T12" s="574">
        <v>0</v>
      </c>
      <c r="U12" s="68"/>
      <c r="V12" s="574">
        <v>0</v>
      </c>
      <c r="W12" s="573"/>
      <c r="X12" s="574">
        <v>0</v>
      </c>
      <c r="Y12" s="68"/>
      <c r="Z12" s="574">
        <v>0</v>
      </c>
      <c r="AA12" s="573"/>
      <c r="AB12" s="574">
        <v>0</v>
      </c>
      <c r="AC12" s="573"/>
      <c r="AD12" s="574">
        <v>0</v>
      </c>
      <c r="AE12" s="56">
        <f>M12+O12+Q12+S12+U12+W12+Y12+AA12+AC12</f>
        <v>7530</v>
      </c>
    </row>
    <row r="13" spans="2:31" ht="9.75" customHeight="1">
      <c r="B13" s="386"/>
      <c r="C13" s="29">
        <v>15</v>
      </c>
      <c r="D13" s="29">
        <v>400</v>
      </c>
      <c r="E13" s="33">
        <v>0.0065</v>
      </c>
      <c r="F13" s="62">
        <f t="shared" si="3"/>
        <v>5.205412684029959</v>
      </c>
      <c r="G13" s="30">
        <v>3.26</v>
      </c>
      <c r="H13" s="29">
        <v>1995</v>
      </c>
      <c r="I13" s="56">
        <v>8008</v>
      </c>
      <c r="J13" s="38">
        <f t="shared" si="0"/>
        <v>3.049828104473756</v>
      </c>
      <c r="K13" s="62">
        <f t="shared" si="1"/>
        <v>3.779062602221021</v>
      </c>
      <c r="L13" s="235">
        <f t="shared" si="4"/>
        <v>3.779062602221021</v>
      </c>
      <c r="M13" s="92">
        <v>7530</v>
      </c>
      <c r="N13" s="36">
        <f t="shared" si="2"/>
        <v>3.5534891851553803</v>
      </c>
      <c r="O13" s="578"/>
      <c r="P13" s="36">
        <f t="shared" si="5"/>
        <v>0</v>
      </c>
      <c r="Q13" s="394"/>
      <c r="R13" s="574">
        <v>0</v>
      </c>
      <c r="S13" s="573"/>
      <c r="T13" s="574">
        <v>0</v>
      </c>
      <c r="U13" s="68"/>
      <c r="V13" s="574">
        <v>0</v>
      </c>
      <c r="W13" s="573"/>
      <c r="X13" s="574">
        <v>0</v>
      </c>
      <c r="Y13" s="68"/>
      <c r="Z13" s="574">
        <v>0</v>
      </c>
      <c r="AA13" s="573"/>
      <c r="AB13" s="574">
        <v>0</v>
      </c>
      <c r="AC13" s="573"/>
      <c r="AD13" s="574">
        <v>0</v>
      </c>
      <c r="AE13" s="56">
        <f>M13+O13+Q13+S13+U13+W13+Y13+AA13+AC13</f>
        <v>7530</v>
      </c>
    </row>
    <row r="14" spans="2:31" ht="9.75" customHeight="1">
      <c r="B14" s="89" t="s">
        <v>241</v>
      </c>
      <c r="C14" s="29">
        <v>15</v>
      </c>
      <c r="D14" s="29">
        <v>271</v>
      </c>
      <c r="E14" s="33">
        <v>0.0065</v>
      </c>
      <c r="F14" s="62">
        <f t="shared" si="3"/>
        <v>5.205412684029959</v>
      </c>
      <c r="G14" s="30">
        <v>3.54</v>
      </c>
      <c r="H14" s="29">
        <v>1986</v>
      </c>
      <c r="I14" s="56">
        <f>I$19</f>
        <v>8008</v>
      </c>
      <c r="J14" s="38">
        <f t="shared" si="0"/>
        <v>3.049828104473756</v>
      </c>
      <c r="K14" s="62">
        <f t="shared" si="1"/>
        <v>3.779062602221021</v>
      </c>
      <c r="L14" s="235">
        <f t="shared" si="4"/>
        <v>3.779062602221021</v>
      </c>
      <c r="M14" s="92">
        <f>M$19</f>
        <v>7530</v>
      </c>
      <c r="N14" s="36">
        <f t="shared" si="2"/>
        <v>3.5534891851553803</v>
      </c>
      <c r="O14" s="578"/>
      <c r="P14" s="36">
        <f t="shared" si="5"/>
        <v>0</v>
      </c>
      <c r="Q14" s="382"/>
      <c r="R14" s="574">
        <v>0</v>
      </c>
      <c r="S14" s="573"/>
      <c r="T14" s="574">
        <v>0</v>
      </c>
      <c r="U14" s="385"/>
      <c r="V14" s="574">
        <v>0</v>
      </c>
      <c r="W14" s="573"/>
      <c r="X14" s="574">
        <v>0</v>
      </c>
      <c r="Y14" s="68"/>
      <c r="Z14" s="574">
        <v>0</v>
      </c>
      <c r="AA14" s="573"/>
      <c r="AB14" s="574">
        <v>0</v>
      </c>
      <c r="AC14" s="573"/>
      <c r="AD14" s="574">
        <v>0</v>
      </c>
      <c r="AE14" s="56">
        <f>M14+O14+Q14+S14+U14+W14+Y14+AA14+AC14</f>
        <v>7530</v>
      </c>
    </row>
    <row r="15" spans="2:31" ht="9.75" customHeight="1">
      <c r="B15" s="386"/>
      <c r="C15" s="29">
        <v>15</v>
      </c>
      <c r="D15" s="29">
        <v>360</v>
      </c>
      <c r="E15" s="33">
        <v>0.0051</v>
      </c>
      <c r="F15" s="62">
        <f t="shared" si="3"/>
        <v>4.610877409851387</v>
      </c>
      <c r="G15" s="30">
        <v>3.54</v>
      </c>
      <c r="H15" s="29">
        <v>1986</v>
      </c>
      <c r="I15" s="56"/>
      <c r="J15" s="38">
        <f t="shared" si="0"/>
        <v>4.5</v>
      </c>
      <c r="K15" s="62">
        <f t="shared" si="1"/>
        <v>0</v>
      </c>
      <c r="L15" s="235">
        <f t="shared" si="4"/>
        <v>0</v>
      </c>
      <c r="M15" s="92">
        <f>M$19</f>
        <v>7530</v>
      </c>
      <c r="N15" s="36">
        <f t="shared" si="2"/>
        <v>5.243148395721925</v>
      </c>
      <c r="O15" s="578"/>
      <c r="P15" s="36">
        <f t="shared" si="5"/>
        <v>0</v>
      </c>
      <c r="Q15" s="382"/>
      <c r="R15" s="574">
        <v>0</v>
      </c>
      <c r="S15" s="573"/>
      <c r="T15" s="574">
        <v>0</v>
      </c>
      <c r="U15" s="68"/>
      <c r="V15" s="574">
        <v>0</v>
      </c>
      <c r="W15" s="573"/>
      <c r="X15" s="574">
        <v>0</v>
      </c>
      <c r="Y15" s="68"/>
      <c r="Z15" s="574">
        <v>0</v>
      </c>
      <c r="AA15" s="573"/>
      <c r="AB15" s="574">
        <v>0</v>
      </c>
      <c r="AC15" s="573"/>
      <c r="AD15" s="574">
        <v>0</v>
      </c>
      <c r="AE15" s="56">
        <f aca="true" t="shared" si="6" ref="AE15:AE25">M15+O15+Q15+S15+U15+W15+Y15+AA15+AC15</f>
        <v>7530</v>
      </c>
    </row>
    <row r="16" spans="2:31" ht="9.75" customHeight="1">
      <c r="B16" s="386"/>
      <c r="C16" s="29">
        <v>15</v>
      </c>
      <c r="D16" s="29">
        <v>238</v>
      </c>
      <c r="E16" s="33">
        <v>0.0051</v>
      </c>
      <c r="F16" s="62">
        <f t="shared" si="3"/>
        <v>4.610877409851387</v>
      </c>
      <c r="G16" s="30">
        <v>3.54</v>
      </c>
      <c r="H16" s="29">
        <v>1986</v>
      </c>
      <c r="I16" s="56"/>
      <c r="J16" s="38">
        <f t="shared" si="0"/>
        <v>4.5</v>
      </c>
      <c r="K16" s="62">
        <f t="shared" si="1"/>
        <v>0</v>
      </c>
      <c r="L16" s="235">
        <f t="shared" si="4"/>
        <v>0</v>
      </c>
      <c r="M16" s="92">
        <f>M$19</f>
        <v>7530</v>
      </c>
      <c r="N16" s="36">
        <f t="shared" si="2"/>
        <v>5.243148395721925</v>
      </c>
      <c r="O16" s="578"/>
      <c r="P16" s="36">
        <f t="shared" si="5"/>
        <v>0</v>
      </c>
      <c r="Q16" s="382"/>
      <c r="R16" s="574">
        <v>0</v>
      </c>
      <c r="S16" s="573"/>
      <c r="T16" s="574">
        <v>0</v>
      </c>
      <c r="U16" s="393"/>
      <c r="V16" s="574">
        <v>0</v>
      </c>
      <c r="W16" s="573"/>
      <c r="X16" s="574">
        <v>0</v>
      </c>
      <c r="Y16" s="68"/>
      <c r="Z16" s="574">
        <v>0</v>
      </c>
      <c r="AA16" s="573"/>
      <c r="AB16" s="574">
        <v>0</v>
      </c>
      <c r="AC16" s="573"/>
      <c r="AD16" s="574">
        <v>0</v>
      </c>
      <c r="AE16" s="56">
        <f t="shared" si="6"/>
        <v>7530</v>
      </c>
    </row>
    <row r="17" spans="2:31" ht="9.75" customHeight="1">
      <c r="B17" s="386"/>
      <c r="C17" s="29"/>
      <c r="D17" s="29"/>
      <c r="E17" s="33"/>
      <c r="F17" s="62"/>
      <c r="G17" s="30"/>
      <c r="H17" s="29"/>
      <c r="I17" s="56"/>
      <c r="J17" s="38"/>
      <c r="K17" s="62"/>
      <c r="L17" s="235"/>
      <c r="M17" s="92"/>
      <c r="N17" s="36"/>
      <c r="O17" s="578"/>
      <c r="P17" s="36"/>
      <c r="Q17" s="382"/>
      <c r="R17" s="574"/>
      <c r="S17" s="573"/>
      <c r="T17" s="574"/>
      <c r="U17" s="393"/>
      <c r="V17" s="574"/>
      <c r="W17" s="573"/>
      <c r="X17" s="574"/>
      <c r="Y17" s="68"/>
      <c r="Z17" s="574"/>
      <c r="AA17" s="573"/>
      <c r="AB17" s="574"/>
      <c r="AC17" s="573"/>
      <c r="AD17" s="574"/>
      <c r="AE17" s="56"/>
    </row>
    <row r="18" spans="2:31" ht="9.75" customHeight="1">
      <c r="B18" s="89" t="s">
        <v>250</v>
      </c>
      <c r="C18" s="29">
        <v>18</v>
      </c>
      <c r="D18" s="29">
        <v>173</v>
      </c>
      <c r="E18" s="33">
        <v>0.003</v>
      </c>
      <c r="F18" s="62">
        <f t="shared" si="3"/>
        <v>5.750546300054049</v>
      </c>
      <c r="G18" s="30">
        <v>4.01</v>
      </c>
      <c r="H18" s="29">
        <v>1986</v>
      </c>
      <c r="I18" s="56">
        <f>I$19</f>
        <v>8008</v>
      </c>
      <c r="J18" s="38">
        <f t="shared" si="0"/>
        <v>3.049828104473756</v>
      </c>
      <c r="K18" s="62">
        <f t="shared" si="1"/>
        <v>3.779062602221021</v>
      </c>
      <c r="L18" s="235">
        <f t="shared" si="4"/>
        <v>3.779062602221021</v>
      </c>
      <c r="M18" s="92">
        <f>M$19</f>
        <v>7530</v>
      </c>
      <c r="N18" s="36">
        <f t="shared" si="2"/>
        <v>3.5534891851553803</v>
      </c>
      <c r="O18" s="578"/>
      <c r="P18" s="36">
        <f t="shared" si="5"/>
        <v>0</v>
      </c>
      <c r="Q18" s="382"/>
      <c r="R18" s="574">
        <v>0</v>
      </c>
      <c r="S18" s="573"/>
      <c r="T18" s="574">
        <v>0</v>
      </c>
      <c r="U18" s="68"/>
      <c r="V18" s="574">
        <v>0</v>
      </c>
      <c r="W18" s="573"/>
      <c r="X18" s="574">
        <v>0</v>
      </c>
      <c r="Y18" s="68"/>
      <c r="Z18" s="574">
        <v>0</v>
      </c>
      <c r="AA18" s="573"/>
      <c r="AB18" s="574">
        <v>0</v>
      </c>
      <c r="AC18" s="573"/>
      <c r="AD18" s="574">
        <v>0</v>
      </c>
      <c r="AE18" s="56">
        <f t="shared" si="6"/>
        <v>7530</v>
      </c>
    </row>
    <row r="19" spans="2:31" ht="9.75" customHeight="1">
      <c r="B19" s="386"/>
      <c r="C19" s="29">
        <v>18</v>
      </c>
      <c r="D19" s="29">
        <v>171</v>
      </c>
      <c r="E19" s="33">
        <v>0.003</v>
      </c>
      <c r="F19" s="62">
        <f t="shared" si="3"/>
        <v>5.750546300054049</v>
      </c>
      <c r="G19" s="30">
        <v>4.01</v>
      </c>
      <c r="H19" s="29">
        <v>1986</v>
      </c>
      <c r="I19" s="56">
        <v>8008</v>
      </c>
      <c r="J19" s="38">
        <f t="shared" si="0"/>
        <v>3.049828104473756</v>
      </c>
      <c r="K19" s="62">
        <f t="shared" si="1"/>
        <v>3.779062602221021</v>
      </c>
      <c r="L19" s="235">
        <f t="shared" si="4"/>
        <v>3.779062602221021</v>
      </c>
      <c r="M19" s="92">
        <v>7530</v>
      </c>
      <c r="N19" s="36">
        <f t="shared" si="2"/>
        <v>3.5534891851553803</v>
      </c>
      <c r="O19" s="578"/>
      <c r="P19" s="36">
        <f t="shared" si="5"/>
        <v>0</v>
      </c>
      <c r="Q19" s="395"/>
      <c r="R19" s="574">
        <v>0</v>
      </c>
      <c r="S19" s="573"/>
      <c r="T19" s="574">
        <v>0</v>
      </c>
      <c r="U19" s="68"/>
      <c r="V19" s="574">
        <v>0</v>
      </c>
      <c r="W19" s="573"/>
      <c r="X19" s="574">
        <v>0</v>
      </c>
      <c r="Y19" s="68"/>
      <c r="Z19" s="574">
        <v>0</v>
      </c>
      <c r="AA19" s="573"/>
      <c r="AB19" s="574">
        <v>0</v>
      </c>
      <c r="AC19" s="573"/>
      <c r="AD19" s="574">
        <v>0</v>
      </c>
      <c r="AE19" s="56">
        <f t="shared" si="6"/>
        <v>7530</v>
      </c>
    </row>
    <row r="20" spans="2:31" ht="9.75" customHeight="1">
      <c r="B20" s="386"/>
      <c r="C20" s="29">
        <v>18</v>
      </c>
      <c r="D20" s="29">
        <v>170</v>
      </c>
      <c r="E20" s="33">
        <v>0.003</v>
      </c>
      <c r="F20" s="62"/>
      <c r="G20" s="30">
        <v>4.01</v>
      </c>
      <c r="H20" s="29">
        <v>1986</v>
      </c>
      <c r="I20" s="56">
        <v>8008</v>
      </c>
      <c r="J20" s="38">
        <f t="shared" si="0"/>
        <v>3.049828104473756</v>
      </c>
      <c r="K20" s="62">
        <f t="shared" si="1"/>
        <v>3.779062602221021</v>
      </c>
      <c r="L20" s="64">
        <f t="shared" si="4"/>
        <v>3.779062602221021</v>
      </c>
      <c r="M20" s="92">
        <v>7530</v>
      </c>
      <c r="N20" s="36">
        <f t="shared" si="2"/>
        <v>3.5534891851553803</v>
      </c>
      <c r="O20" s="578"/>
      <c r="P20" s="574">
        <f t="shared" si="5"/>
        <v>0</v>
      </c>
      <c r="Q20" s="68"/>
      <c r="R20" s="574">
        <v>0</v>
      </c>
      <c r="S20" s="573"/>
      <c r="T20" s="574">
        <v>0</v>
      </c>
      <c r="U20" s="68"/>
      <c r="V20" s="574">
        <v>0</v>
      </c>
      <c r="W20" s="573"/>
      <c r="X20" s="574">
        <v>0</v>
      </c>
      <c r="Y20" s="68"/>
      <c r="Z20" s="574">
        <v>0</v>
      </c>
      <c r="AA20" s="573"/>
      <c r="AB20" s="574">
        <v>0</v>
      </c>
      <c r="AC20" s="573"/>
      <c r="AD20" s="574">
        <v>0</v>
      </c>
      <c r="AE20" s="56">
        <f t="shared" si="6"/>
        <v>7530</v>
      </c>
    </row>
    <row r="21" spans="2:31" ht="9.75" customHeight="1">
      <c r="B21" s="386"/>
      <c r="C21" s="29">
        <v>18</v>
      </c>
      <c r="D21" s="29">
        <v>295</v>
      </c>
      <c r="E21" s="33">
        <v>0.003</v>
      </c>
      <c r="F21" s="62">
        <f t="shared" si="3"/>
        <v>5.750546300054049</v>
      </c>
      <c r="G21" s="30">
        <v>4.01</v>
      </c>
      <c r="H21" s="29">
        <v>1986</v>
      </c>
      <c r="I21" s="56">
        <v>8008</v>
      </c>
      <c r="J21" s="38">
        <f t="shared" si="0"/>
        <v>3.049828104473756</v>
      </c>
      <c r="K21" s="62">
        <f t="shared" si="1"/>
        <v>3.779062602221021</v>
      </c>
      <c r="L21" s="64">
        <f t="shared" si="4"/>
        <v>3.779062602221021</v>
      </c>
      <c r="M21" s="92">
        <v>7530</v>
      </c>
      <c r="N21" s="36">
        <f t="shared" si="2"/>
        <v>3.5534891851553803</v>
      </c>
      <c r="O21" s="578"/>
      <c r="P21" s="574">
        <f t="shared" si="5"/>
        <v>0</v>
      </c>
      <c r="Q21" s="68"/>
      <c r="R21" s="574">
        <v>0</v>
      </c>
      <c r="S21" s="573"/>
      <c r="T21" s="574">
        <v>0</v>
      </c>
      <c r="U21" s="68"/>
      <c r="V21" s="574">
        <v>0</v>
      </c>
      <c r="W21" s="573"/>
      <c r="X21" s="574">
        <v>0</v>
      </c>
      <c r="Y21" s="68"/>
      <c r="Z21" s="574">
        <v>0</v>
      </c>
      <c r="AA21" s="573"/>
      <c r="AB21" s="574">
        <v>0</v>
      </c>
      <c r="AC21" s="573"/>
      <c r="AD21" s="574">
        <v>0</v>
      </c>
      <c r="AE21" s="56">
        <f>M21+O21+Q21+S21+U21+W21+Y21+AA21+AC21</f>
        <v>7530</v>
      </c>
    </row>
    <row r="22" spans="2:31" ht="9.75" customHeight="1">
      <c r="B22" s="89" t="s">
        <v>251</v>
      </c>
      <c r="C22" s="29">
        <v>18</v>
      </c>
      <c r="D22" s="29">
        <v>255</v>
      </c>
      <c r="E22" s="33">
        <v>0.003</v>
      </c>
      <c r="F22" s="62">
        <f t="shared" si="3"/>
        <v>5.750546300054049</v>
      </c>
      <c r="G22" s="30">
        <v>4.01</v>
      </c>
      <c r="H22" s="29">
        <v>1986</v>
      </c>
      <c r="I22" s="56">
        <v>8008</v>
      </c>
      <c r="J22" s="38">
        <f t="shared" si="0"/>
        <v>3.049828104473756</v>
      </c>
      <c r="K22" s="62">
        <f t="shared" si="1"/>
        <v>3.779062602221021</v>
      </c>
      <c r="L22" s="64">
        <f t="shared" si="4"/>
        <v>3.779062602221021</v>
      </c>
      <c r="M22" s="92">
        <v>7530</v>
      </c>
      <c r="N22" s="36">
        <f t="shared" si="2"/>
        <v>3.5534891851553803</v>
      </c>
      <c r="O22" s="578"/>
      <c r="P22" s="574">
        <f t="shared" si="5"/>
        <v>0</v>
      </c>
      <c r="Q22" s="68"/>
      <c r="R22" s="574">
        <v>0</v>
      </c>
      <c r="S22" s="573"/>
      <c r="T22" s="574">
        <v>0</v>
      </c>
      <c r="U22" s="68"/>
      <c r="V22" s="574">
        <v>0</v>
      </c>
      <c r="W22" s="573"/>
      <c r="X22" s="574">
        <v>0</v>
      </c>
      <c r="Y22" s="68"/>
      <c r="Z22" s="574">
        <v>0</v>
      </c>
      <c r="AA22" s="573"/>
      <c r="AB22" s="574">
        <v>0</v>
      </c>
      <c r="AC22" s="573"/>
      <c r="AD22" s="574">
        <v>0</v>
      </c>
      <c r="AE22" s="56">
        <f t="shared" si="6"/>
        <v>7530</v>
      </c>
    </row>
    <row r="23" spans="2:31" ht="9.75" customHeight="1">
      <c r="B23" s="386"/>
      <c r="C23" s="29">
        <v>18</v>
      </c>
      <c r="D23" s="29">
        <v>190</v>
      </c>
      <c r="E23" s="33">
        <v>0.003</v>
      </c>
      <c r="F23" s="62">
        <f t="shared" si="3"/>
        <v>5.750546300054049</v>
      </c>
      <c r="G23" s="30">
        <v>4.01</v>
      </c>
      <c r="H23" s="29">
        <v>1986</v>
      </c>
      <c r="I23" s="56">
        <v>8008</v>
      </c>
      <c r="J23" s="38">
        <f t="shared" si="0"/>
        <v>3.049828104473756</v>
      </c>
      <c r="K23" s="62">
        <f t="shared" si="1"/>
        <v>3.779062602221021</v>
      </c>
      <c r="L23" s="64">
        <f t="shared" si="4"/>
        <v>3.779062602221021</v>
      </c>
      <c r="M23" s="92">
        <v>7530</v>
      </c>
      <c r="N23" s="36">
        <f t="shared" si="2"/>
        <v>3.5534891851553803</v>
      </c>
      <c r="O23" s="578"/>
      <c r="P23" s="574">
        <f t="shared" si="5"/>
        <v>0</v>
      </c>
      <c r="Q23" s="68"/>
      <c r="R23" s="574">
        <v>0</v>
      </c>
      <c r="S23" s="573"/>
      <c r="T23" s="574">
        <v>0</v>
      </c>
      <c r="U23" s="68"/>
      <c r="V23" s="574">
        <v>0</v>
      </c>
      <c r="W23" s="573"/>
      <c r="X23" s="574">
        <v>0</v>
      </c>
      <c r="Y23" s="68"/>
      <c r="Z23" s="574">
        <v>0</v>
      </c>
      <c r="AA23" s="573"/>
      <c r="AB23" s="574">
        <v>0</v>
      </c>
      <c r="AC23" s="573"/>
      <c r="AD23" s="574">
        <v>0</v>
      </c>
      <c r="AE23" s="56">
        <f t="shared" si="6"/>
        <v>7530</v>
      </c>
    </row>
    <row r="24" spans="2:31" ht="9.75" customHeight="1">
      <c r="B24" s="386"/>
      <c r="C24" s="29">
        <v>18</v>
      </c>
      <c r="D24" s="29">
        <v>20</v>
      </c>
      <c r="E24" s="33">
        <v>0.003</v>
      </c>
      <c r="F24" s="62">
        <f t="shared" si="3"/>
        <v>5.750546300054049</v>
      </c>
      <c r="G24" s="30">
        <v>4.01</v>
      </c>
      <c r="H24" s="29">
        <v>1962</v>
      </c>
      <c r="I24" s="56">
        <v>8008</v>
      </c>
      <c r="J24" s="38">
        <f t="shared" si="0"/>
        <v>3.049828104473756</v>
      </c>
      <c r="K24" s="62">
        <f t="shared" si="1"/>
        <v>3.779062602221021</v>
      </c>
      <c r="L24" s="64">
        <f t="shared" si="4"/>
        <v>3.779062602221021</v>
      </c>
      <c r="M24" s="92">
        <v>7530</v>
      </c>
      <c r="N24" s="36">
        <f t="shared" si="2"/>
        <v>3.5534891851553803</v>
      </c>
      <c r="O24" s="578"/>
      <c r="P24" s="574">
        <f t="shared" si="5"/>
        <v>0</v>
      </c>
      <c r="Q24" s="68"/>
      <c r="R24" s="574">
        <v>0</v>
      </c>
      <c r="S24" s="573"/>
      <c r="T24" s="574">
        <v>0</v>
      </c>
      <c r="U24" s="68"/>
      <c r="V24" s="574">
        <v>0</v>
      </c>
      <c r="W24" s="573"/>
      <c r="X24" s="574">
        <v>0</v>
      </c>
      <c r="Y24" s="68"/>
      <c r="Z24" s="574">
        <v>0</v>
      </c>
      <c r="AA24" s="573"/>
      <c r="AB24" s="574">
        <v>0</v>
      </c>
      <c r="AC24" s="573"/>
      <c r="AD24" s="574">
        <v>0</v>
      </c>
      <c r="AE24" s="56">
        <f t="shared" si="6"/>
        <v>7530</v>
      </c>
    </row>
    <row r="25" spans="2:31" ht="9.75" customHeight="1">
      <c r="B25" s="387"/>
      <c r="C25" s="31">
        <v>18</v>
      </c>
      <c r="D25" s="31">
        <v>163</v>
      </c>
      <c r="E25" s="91">
        <v>0.0033</v>
      </c>
      <c r="F25" s="34">
        <f t="shared" si="3"/>
        <v>6.031223841308815</v>
      </c>
      <c r="G25" s="32">
        <v>4.01</v>
      </c>
      <c r="H25" s="31">
        <v>1962</v>
      </c>
      <c r="I25" s="57">
        <v>8008</v>
      </c>
      <c r="J25" s="35">
        <f t="shared" si="0"/>
        <v>3.049828104473756</v>
      </c>
      <c r="K25" s="34">
        <f t="shared" si="1"/>
        <v>3.779062602221021</v>
      </c>
      <c r="L25" s="242">
        <f t="shared" si="4"/>
        <v>3.779062602221021</v>
      </c>
      <c r="M25" s="93">
        <v>7530</v>
      </c>
      <c r="N25" s="37">
        <f t="shared" si="2"/>
        <v>3.5534891851553803</v>
      </c>
      <c r="O25" s="75"/>
      <c r="P25" s="73">
        <f t="shared" si="5"/>
        <v>0</v>
      </c>
      <c r="Q25" s="243"/>
      <c r="R25" s="73">
        <v>0</v>
      </c>
      <c r="S25" s="388"/>
      <c r="T25" s="73">
        <v>0</v>
      </c>
      <c r="U25" s="243"/>
      <c r="V25" s="73">
        <v>0</v>
      </c>
      <c r="W25" s="388"/>
      <c r="X25" s="73">
        <v>0</v>
      </c>
      <c r="Y25" s="243"/>
      <c r="Z25" s="73">
        <v>0</v>
      </c>
      <c r="AA25" s="388"/>
      <c r="AB25" s="73">
        <v>0</v>
      </c>
      <c r="AC25" s="388"/>
      <c r="AD25" s="73">
        <v>0</v>
      </c>
      <c r="AE25" s="553">
        <f t="shared" si="6"/>
        <v>7530</v>
      </c>
    </row>
    <row r="26" spans="26:29" ht="12.75">
      <c r="Z26" s="264"/>
      <c r="AA26" s="677"/>
      <c r="AB26" s="677"/>
      <c r="AC26" s="264"/>
    </row>
    <row r="27" spans="1:28" ht="12.75">
      <c r="A27" s="22" t="s">
        <v>254</v>
      </c>
      <c r="B27" s="22"/>
      <c r="AA27" s="569"/>
      <c r="AB27" s="569"/>
    </row>
    <row r="28" spans="1:31" ht="9.75" customHeight="1">
      <c r="A28" s="267"/>
      <c r="B28" s="267"/>
      <c r="C28" s="245"/>
      <c r="D28" s="245"/>
      <c r="E28" s="246"/>
      <c r="F28" s="389"/>
      <c r="G28" s="567" t="s">
        <v>44</v>
      </c>
      <c r="H28" s="245"/>
      <c r="I28" s="568" t="s">
        <v>175</v>
      </c>
      <c r="J28" s="245"/>
      <c r="K28" s="41" t="s">
        <v>203</v>
      </c>
      <c r="L28" s="23" t="s">
        <v>176</v>
      </c>
      <c r="M28" s="672" t="s">
        <v>44</v>
      </c>
      <c r="N28" s="673"/>
      <c r="O28" s="670" t="s">
        <v>66</v>
      </c>
      <c r="P28" s="671"/>
      <c r="Q28" s="675" t="s">
        <v>247</v>
      </c>
      <c r="R28" s="676"/>
      <c r="S28" s="675" t="s">
        <v>51</v>
      </c>
      <c r="T28" s="676"/>
      <c r="U28" s="675" t="s">
        <v>178</v>
      </c>
      <c r="V28" s="676"/>
      <c r="W28" s="675" t="s">
        <v>71</v>
      </c>
      <c r="X28" s="676"/>
      <c r="Y28" s="675" t="s">
        <v>65</v>
      </c>
      <c r="Z28" s="676"/>
      <c r="AA28" s="643" t="s">
        <v>139</v>
      </c>
      <c r="AB28" s="644"/>
      <c r="AC28" s="675" t="s">
        <v>208</v>
      </c>
      <c r="AD28" s="676"/>
      <c r="AE28" s="568" t="s">
        <v>7</v>
      </c>
    </row>
    <row r="29" spans="1:31" ht="9.75" customHeight="1">
      <c r="A29" s="564" t="s">
        <v>179</v>
      </c>
      <c r="B29" s="564"/>
      <c r="C29" s="568" t="s">
        <v>180</v>
      </c>
      <c r="D29" s="568" t="s">
        <v>246</v>
      </c>
      <c r="E29" s="51" t="s">
        <v>182</v>
      </c>
      <c r="F29" s="54" t="s">
        <v>183</v>
      </c>
      <c r="G29" s="567" t="s">
        <v>176</v>
      </c>
      <c r="H29" s="568" t="s">
        <v>249</v>
      </c>
      <c r="I29" s="568" t="s">
        <v>184</v>
      </c>
      <c r="J29" s="568" t="s">
        <v>185</v>
      </c>
      <c r="K29" s="41" t="s">
        <v>204</v>
      </c>
      <c r="L29" s="23" t="s">
        <v>199</v>
      </c>
      <c r="M29" s="567" t="s">
        <v>187</v>
      </c>
      <c r="N29" s="568" t="s">
        <v>238</v>
      </c>
      <c r="O29" s="565" t="s">
        <v>187</v>
      </c>
      <c r="P29" s="566" t="s">
        <v>238</v>
      </c>
      <c r="Q29" s="570" t="s">
        <v>187</v>
      </c>
      <c r="R29" s="571" t="s">
        <v>238</v>
      </c>
      <c r="S29" s="570" t="s">
        <v>187</v>
      </c>
      <c r="T29" s="571" t="s">
        <v>238</v>
      </c>
      <c r="U29" s="570" t="s">
        <v>187</v>
      </c>
      <c r="V29" s="571" t="s">
        <v>238</v>
      </c>
      <c r="W29" s="570" t="s">
        <v>187</v>
      </c>
      <c r="X29" s="571" t="s">
        <v>238</v>
      </c>
      <c r="Y29" s="570" t="s">
        <v>187</v>
      </c>
      <c r="Z29" s="571" t="s">
        <v>238</v>
      </c>
      <c r="AA29" s="573" t="s">
        <v>187</v>
      </c>
      <c r="AB29" s="574" t="s">
        <v>238</v>
      </c>
      <c r="AC29" s="570" t="s">
        <v>187</v>
      </c>
      <c r="AD29" s="571" t="s">
        <v>238</v>
      </c>
      <c r="AE29" s="568" t="s">
        <v>186</v>
      </c>
    </row>
    <row r="30" spans="1:31" ht="9.75" customHeight="1" thickBot="1">
      <c r="A30" s="39" t="s">
        <v>214</v>
      </c>
      <c r="B30" s="39" t="s">
        <v>215</v>
      </c>
      <c r="C30" s="78" t="s">
        <v>189</v>
      </c>
      <c r="D30" s="78" t="s">
        <v>248</v>
      </c>
      <c r="E30" s="79" t="s">
        <v>202</v>
      </c>
      <c r="F30" s="84" t="s">
        <v>191</v>
      </c>
      <c r="G30" s="81" t="s">
        <v>191</v>
      </c>
      <c r="H30" s="78" t="s">
        <v>192</v>
      </c>
      <c r="I30" s="78" t="s">
        <v>239</v>
      </c>
      <c r="J30" s="78" t="s">
        <v>194</v>
      </c>
      <c r="K30" s="80" t="s">
        <v>191</v>
      </c>
      <c r="L30" s="390" t="s">
        <v>191</v>
      </c>
      <c r="M30" s="343"/>
      <c r="N30" s="78" t="s">
        <v>191</v>
      </c>
      <c r="O30" s="379"/>
      <c r="P30" s="174" t="s">
        <v>191</v>
      </c>
      <c r="Q30" s="149"/>
      <c r="R30" s="86" t="s">
        <v>191</v>
      </c>
      <c r="S30" s="149"/>
      <c r="T30" s="86" t="s">
        <v>191</v>
      </c>
      <c r="U30" s="149"/>
      <c r="V30" s="86" t="s">
        <v>191</v>
      </c>
      <c r="W30" s="149"/>
      <c r="X30" s="86" t="s">
        <v>191</v>
      </c>
      <c r="Y30" s="149"/>
      <c r="Z30" s="86" t="s">
        <v>191</v>
      </c>
      <c r="AA30" s="391"/>
      <c r="AB30" s="95" t="s">
        <v>191</v>
      </c>
      <c r="AC30" s="149"/>
      <c r="AD30" s="86" t="s">
        <v>191</v>
      </c>
      <c r="AE30" s="344"/>
    </row>
    <row r="31" spans="1:31" ht="9.75" customHeight="1" thickTop="1">
      <c r="A31" s="564" t="s">
        <v>252</v>
      </c>
      <c r="B31" s="22" t="s">
        <v>253</v>
      </c>
      <c r="C31" s="29">
        <v>12</v>
      </c>
      <c r="D31" s="29">
        <v>6</v>
      </c>
      <c r="E31" s="33">
        <v>0.0085</v>
      </c>
      <c r="F31" s="62">
        <f aca="true" t="shared" si="7" ref="F31:F40">(1.486/0.013)*((3.14*($C31*$C31)/4)/144)*SQRT($E31)*POWER($C31/12/4,2/3)</f>
        <v>3.283078364856546</v>
      </c>
      <c r="G31" s="30">
        <v>3.12</v>
      </c>
      <c r="H31" s="29">
        <v>1977</v>
      </c>
      <c r="I31" s="56">
        <v>4616</v>
      </c>
      <c r="J31" s="38">
        <f aca="true" t="shared" si="8" ref="J31:J40">(18+SQRT(I31/1000))/(4+SQRT(I31/1000))</f>
        <v>3.2769826278574703</v>
      </c>
      <c r="K31" s="62">
        <f aca="true" t="shared" si="9" ref="K31:K40">I31:I31*100*J31/(7.48*24*60*60)</f>
        <v>2.340585977760151</v>
      </c>
      <c r="L31" s="23">
        <v>3.12</v>
      </c>
      <c r="M31" s="92">
        <v>4600</v>
      </c>
      <c r="N31" s="36">
        <f aca="true" t="shared" si="10" ref="N31:N40">J31*100*M31/(7.48*24*60*60)</f>
        <v>2.3324730280972044</v>
      </c>
      <c r="O31" s="578"/>
      <c r="P31" s="574">
        <v>0</v>
      </c>
      <c r="Q31" s="578">
        <v>16</v>
      </c>
      <c r="R31" s="574">
        <f aca="true" t="shared" si="11" ref="R31:R40">L31*100*Q31/(7.48*24*60*60)</f>
        <v>0.007724301841948901</v>
      </c>
      <c r="S31" s="573"/>
      <c r="T31" s="574">
        <v>0</v>
      </c>
      <c r="U31" s="573"/>
      <c r="V31" s="574">
        <v>0</v>
      </c>
      <c r="W31" s="573"/>
      <c r="X31" s="574">
        <v>0</v>
      </c>
      <c r="Y31" s="573"/>
      <c r="Z31" s="574">
        <v>0</v>
      </c>
      <c r="AA31" s="573"/>
      <c r="AB31" s="574">
        <v>0</v>
      </c>
      <c r="AC31" s="573"/>
      <c r="AD31" s="574">
        <v>0</v>
      </c>
      <c r="AE31" s="56">
        <f>M31+O31+Q31+S31+U31+W31+Y31+AA31+AC31</f>
        <v>4616</v>
      </c>
    </row>
    <row r="32" spans="1:31" ht="9.75" customHeight="1">
      <c r="A32" s="267"/>
      <c r="C32" s="29">
        <v>12</v>
      </c>
      <c r="D32" s="29">
        <v>289</v>
      </c>
      <c r="E32" s="33">
        <v>0.0085</v>
      </c>
      <c r="F32" s="62">
        <f t="shared" si="7"/>
        <v>3.283078364856546</v>
      </c>
      <c r="G32" s="30">
        <v>3.12</v>
      </c>
      <c r="H32" s="29">
        <v>1977</v>
      </c>
      <c r="I32" s="56">
        <v>4616</v>
      </c>
      <c r="J32" s="38">
        <f t="shared" si="8"/>
        <v>3.2769826278574703</v>
      </c>
      <c r="K32" s="62">
        <f t="shared" si="9"/>
        <v>2.340585977760151</v>
      </c>
      <c r="L32" s="23">
        <v>3.12</v>
      </c>
      <c r="M32" s="92">
        <v>4600</v>
      </c>
      <c r="N32" s="36">
        <f t="shared" si="10"/>
        <v>2.3324730280972044</v>
      </c>
      <c r="O32" s="578"/>
      <c r="P32" s="574">
        <v>0</v>
      </c>
      <c r="Q32" s="578">
        <v>16</v>
      </c>
      <c r="R32" s="574">
        <f t="shared" si="11"/>
        <v>0.007724301841948901</v>
      </c>
      <c r="S32" s="573"/>
      <c r="T32" s="574">
        <v>0</v>
      </c>
      <c r="U32" s="573"/>
      <c r="V32" s="574">
        <v>0</v>
      </c>
      <c r="W32" s="573"/>
      <c r="X32" s="574">
        <v>0</v>
      </c>
      <c r="Y32" s="573"/>
      <c r="Z32" s="574">
        <v>0</v>
      </c>
      <c r="AA32" s="573"/>
      <c r="AB32" s="574">
        <v>0</v>
      </c>
      <c r="AC32" s="573"/>
      <c r="AD32" s="574">
        <v>0</v>
      </c>
      <c r="AE32" s="56">
        <f aca="true" t="shared" si="12" ref="AE32:AE40">M32+O32+Q32+S32+U32+W32+Y32+AA32+AC32</f>
        <v>4616</v>
      </c>
    </row>
    <row r="33" spans="2:31" ht="9.75" customHeight="1">
      <c r="B33" s="22" t="s">
        <v>243</v>
      </c>
      <c r="C33" s="29">
        <v>12</v>
      </c>
      <c r="D33" s="29">
        <v>301</v>
      </c>
      <c r="E33" s="33">
        <v>0.0085</v>
      </c>
      <c r="F33" s="62">
        <f t="shared" si="7"/>
        <v>3.283078364856546</v>
      </c>
      <c r="G33" s="30">
        <v>3.12</v>
      </c>
      <c r="H33" s="29">
        <v>1977</v>
      </c>
      <c r="I33" s="56">
        <v>4616</v>
      </c>
      <c r="J33" s="38">
        <f t="shared" si="8"/>
        <v>3.2769826278574703</v>
      </c>
      <c r="K33" s="62">
        <f t="shared" si="9"/>
        <v>2.340585977760151</v>
      </c>
      <c r="L33" s="23">
        <v>3.12</v>
      </c>
      <c r="M33" s="92">
        <v>4600</v>
      </c>
      <c r="N33" s="36">
        <f t="shared" si="10"/>
        <v>2.3324730280972044</v>
      </c>
      <c r="O33" s="578"/>
      <c r="P33" s="574">
        <v>0</v>
      </c>
      <c r="Q33" s="578">
        <v>16</v>
      </c>
      <c r="R33" s="574">
        <f t="shared" si="11"/>
        <v>0.007724301841948901</v>
      </c>
      <c r="S33" s="573"/>
      <c r="T33" s="574">
        <v>0</v>
      </c>
      <c r="U33" s="573"/>
      <c r="V33" s="574">
        <v>0</v>
      </c>
      <c r="W33" s="573"/>
      <c r="X33" s="574">
        <v>0</v>
      </c>
      <c r="Y33" s="573"/>
      <c r="Z33" s="574">
        <v>0</v>
      </c>
      <c r="AA33" s="573"/>
      <c r="AB33" s="574">
        <v>0</v>
      </c>
      <c r="AC33" s="573"/>
      <c r="AD33" s="574">
        <v>0</v>
      </c>
      <c r="AE33" s="56">
        <f t="shared" si="12"/>
        <v>4616</v>
      </c>
    </row>
    <row r="34" spans="2:31" ht="9.75" customHeight="1">
      <c r="B34" s="22" t="s">
        <v>243</v>
      </c>
      <c r="C34" s="29">
        <v>18</v>
      </c>
      <c r="D34" s="29">
        <v>143</v>
      </c>
      <c r="E34" s="33">
        <v>0.0012</v>
      </c>
      <c r="F34" s="62">
        <f t="shared" si="7"/>
        <v>3.6369648196849704</v>
      </c>
      <c r="G34" s="30">
        <v>3.47</v>
      </c>
      <c r="H34" s="29">
        <v>1972</v>
      </c>
      <c r="I34" s="56">
        <v>5642</v>
      </c>
      <c r="J34" s="38">
        <f t="shared" si="8"/>
        <v>3.195978723244423</v>
      </c>
      <c r="K34" s="62">
        <f t="shared" si="9"/>
        <v>2.7901118966232534</v>
      </c>
      <c r="L34" s="23">
        <v>3.47</v>
      </c>
      <c r="M34" s="92">
        <v>5626</v>
      </c>
      <c r="N34" s="36">
        <f t="shared" si="10"/>
        <v>2.7821994913864634</v>
      </c>
      <c r="O34" s="578"/>
      <c r="P34" s="574">
        <v>0</v>
      </c>
      <c r="Q34" s="578">
        <v>16</v>
      </c>
      <c r="R34" s="574">
        <f t="shared" si="11"/>
        <v>0.008590810061398297</v>
      </c>
      <c r="S34" s="573"/>
      <c r="T34" s="574">
        <v>0</v>
      </c>
      <c r="U34" s="573"/>
      <c r="V34" s="574">
        <v>0</v>
      </c>
      <c r="W34" s="573"/>
      <c r="X34" s="574">
        <v>0</v>
      </c>
      <c r="Y34" s="573"/>
      <c r="Z34" s="574">
        <v>0</v>
      </c>
      <c r="AA34" s="573"/>
      <c r="AB34" s="574">
        <v>0</v>
      </c>
      <c r="AC34" s="573"/>
      <c r="AD34" s="574">
        <v>0</v>
      </c>
      <c r="AE34" s="56">
        <f t="shared" si="12"/>
        <v>5642</v>
      </c>
    </row>
    <row r="35" spans="3:31" ht="9.75" customHeight="1">
      <c r="C35" s="29">
        <v>18</v>
      </c>
      <c r="D35" s="29">
        <v>96</v>
      </c>
      <c r="E35" s="33">
        <v>0.0012</v>
      </c>
      <c r="F35" s="62">
        <f t="shared" si="7"/>
        <v>3.6369648196849704</v>
      </c>
      <c r="G35" s="30">
        <v>3.47</v>
      </c>
      <c r="H35" s="29">
        <v>1967</v>
      </c>
      <c r="I35" s="56">
        <v>5642</v>
      </c>
      <c r="J35" s="38">
        <f t="shared" si="8"/>
        <v>3.195978723244423</v>
      </c>
      <c r="K35" s="62">
        <f t="shared" si="9"/>
        <v>2.7901118966232534</v>
      </c>
      <c r="L35" s="23">
        <v>3.47</v>
      </c>
      <c r="M35" s="92">
        <v>5626</v>
      </c>
      <c r="N35" s="36">
        <f t="shared" si="10"/>
        <v>2.7821994913864634</v>
      </c>
      <c r="O35" s="578"/>
      <c r="P35" s="574">
        <v>0</v>
      </c>
      <c r="Q35" s="578">
        <v>16</v>
      </c>
      <c r="R35" s="574">
        <f t="shared" si="11"/>
        <v>0.008590810061398297</v>
      </c>
      <c r="S35" s="573"/>
      <c r="T35" s="574">
        <v>0</v>
      </c>
      <c r="U35" s="573"/>
      <c r="V35" s="574">
        <v>0</v>
      </c>
      <c r="W35" s="573"/>
      <c r="X35" s="574">
        <v>0</v>
      </c>
      <c r="Y35" s="573"/>
      <c r="Z35" s="574">
        <v>0</v>
      </c>
      <c r="AA35" s="573"/>
      <c r="AB35" s="574">
        <v>0</v>
      </c>
      <c r="AC35" s="573"/>
      <c r="AD35" s="574">
        <v>0</v>
      </c>
      <c r="AE35" s="56">
        <f>M35+O35+Q35+S35+U35+W35+Y35+AA35+AC35</f>
        <v>5642</v>
      </c>
    </row>
    <row r="36" spans="2:31" ht="9.75" customHeight="1">
      <c r="B36" s="22" t="s">
        <v>256</v>
      </c>
      <c r="C36" s="29">
        <v>18</v>
      </c>
      <c r="D36" s="29">
        <v>302</v>
      </c>
      <c r="E36" s="33">
        <v>0.0012</v>
      </c>
      <c r="F36" s="62">
        <f t="shared" si="7"/>
        <v>3.6369648196849704</v>
      </c>
      <c r="G36" s="30">
        <v>3.47</v>
      </c>
      <c r="H36" s="29">
        <v>1967</v>
      </c>
      <c r="I36" s="56">
        <v>5642</v>
      </c>
      <c r="J36" s="38">
        <f t="shared" si="8"/>
        <v>3.195978723244423</v>
      </c>
      <c r="K36" s="62">
        <f t="shared" si="9"/>
        <v>2.7901118966232534</v>
      </c>
      <c r="L36" s="23">
        <v>3.47</v>
      </c>
      <c r="M36" s="92">
        <v>5626</v>
      </c>
      <c r="N36" s="36">
        <f t="shared" si="10"/>
        <v>2.7821994913864634</v>
      </c>
      <c r="O36" s="578"/>
      <c r="P36" s="574">
        <v>0</v>
      </c>
      <c r="Q36" s="578">
        <v>16</v>
      </c>
      <c r="R36" s="574">
        <f t="shared" si="11"/>
        <v>0.008590810061398297</v>
      </c>
      <c r="S36" s="573"/>
      <c r="T36" s="574">
        <v>0</v>
      </c>
      <c r="U36" s="573"/>
      <c r="V36" s="574">
        <v>0</v>
      </c>
      <c r="W36" s="573"/>
      <c r="X36" s="574">
        <v>0</v>
      </c>
      <c r="Y36" s="573"/>
      <c r="Z36" s="574">
        <v>0</v>
      </c>
      <c r="AA36" s="573"/>
      <c r="AB36" s="574">
        <v>0</v>
      </c>
      <c r="AC36" s="573"/>
      <c r="AD36" s="574">
        <v>0</v>
      </c>
      <c r="AE36" s="56">
        <f t="shared" si="12"/>
        <v>5642</v>
      </c>
    </row>
    <row r="37" spans="3:31" ht="9.75" customHeight="1">
      <c r="C37" s="29">
        <v>18</v>
      </c>
      <c r="D37" s="29">
        <v>35</v>
      </c>
      <c r="E37" s="33">
        <v>0.0012</v>
      </c>
      <c r="F37" s="62">
        <f t="shared" si="7"/>
        <v>3.6369648196849704</v>
      </c>
      <c r="G37" s="30">
        <v>3.47</v>
      </c>
      <c r="H37" s="29">
        <v>1962</v>
      </c>
      <c r="I37" s="56">
        <v>5642</v>
      </c>
      <c r="J37" s="38">
        <f t="shared" si="8"/>
        <v>3.195978723244423</v>
      </c>
      <c r="K37" s="62">
        <f t="shared" si="9"/>
        <v>2.7901118966232534</v>
      </c>
      <c r="L37" s="23">
        <v>3.47</v>
      </c>
      <c r="M37" s="92">
        <v>5626</v>
      </c>
      <c r="N37" s="36">
        <f t="shared" si="10"/>
        <v>2.7821994913864634</v>
      </c>
      <c r="O37" s="578"/>
      <c r="P37" s="574">
        <v>0</v>
      </c>
      <c r="Q37" s="578">
        <v>16</v>
      </c>
      <c r="R37" s="574">
        <f t="shared" si="11"/>
        <v>0.008590810061398297</v>
      </c>
      <c r="S37" s="573"/>
      <c r="T37" s="574">
        <v>0</v>
      </c>
      <c r="U37" s="573"/>
      <c r="V37" s="574">
        <v>0</v>
      </c>
      <c r="W37" s="573"/>
      <c r="X37" s="574">
        <v>0</v>
      </c>
      <c r="Y37" s="573"/>
      <c r="Z37" s="574">
        <v>0</v>
      </c>
      <c r="AA37" s="573"/>
      <c r="AB37" s="574">
        <v>0</v>
      </c>
      <c r="AC37" s="573"/>
      <c r="AD37" s="574">
        <v>0</v>
      </c>
      <c r="AE37" s="56">
        <f t="shared" si="12"/>
        <v>5642</v>
      </c>
    </row>
    <row r="38" spans="3:31" ht="9.75" customHeight="1">
      <c r="C38" s="29">
        <v>18</v>
      </c>
      <c r="D38" s="29">
        <v>300</v>
      </c>
      <c r="E38" s="33">
        <v>0.0012</v>
      </c>
      <c r="F38" s="62">
        <f t="shared" si="7"/>
        <v>3.6369648196849704</v>
      </c>
      <c r="G38" s="30">
        <v>3.47</v>
      </c>
      <c r="H38" s="29">
        <v>1962</v>
      </c>
      <c r="I38" s="56">
        <f>I$40</f>
        <v>5642</v>
      </c>
      <c r="J38" s="38">
        <f t="shared" si="8"/>
        <v>3.195978723244423</v>
      </c>
      <c r="K38" s="62">
        <f t="shared" si="9"/>
        <v>2.7901118966232534</v>
      </c>
      <c r="L38" s="23">
        <v>3.47</v>
      </c>
      <c r="M38" s="92">
        <f>M$40</f>
        <v>5626</v>
      </c>
      <c r="N38" s="36">
        <f t="shared" si="10"/>
        <v>2.7821994913864634</v>
      </c>
      <c r="O38" s="578"/>
      <c r="P38" s="574">
        <v>0</v>
      </c>
      <c r="Q38" s="578">
        <f>Q$40</f>
        <v>16</v>
      </c>
      <c r="R38" s="574">
        <f t="shared" si="11"/>
        <v>0.008590810061398297</v>
      </c>
      <c r="S38" s="573"/>
      <c r="T38" s="574">
        <v>0</v>
      </c>
      <c r="U38" s="573"/>
      <c r="V38" s="574">
        <v>0</v>
      </c>
      <c r="W38" s="573"/>
      <c r="X38" s="574">
        <v>0</v>
      </c>
      <c r="Y38" s="573"/>
      <c r="Z38" s="574">
        <v>0</v>
      </c>
      <c r="AA38" s="573"/>
      <c r="AB38" s="574">
        <v>0</v>
      </c>
      <c r="AC38" s="573"/>
      <c r="AD38" s="574">
        <v>0</v>
      </c>
      <c r="AE38" s="56">
        <f t="shared" si="12"/>
        <v>5642</v>
      </c>
    </row>
    <row r="39" spans="2:31" ht="9.75" customHeight="1">
      <c r="B39" s="22" t="s">
        <v>244</v>
      </c>
      <c r="C39" s="29">
        <v>18</v>
      </c>
      <c r="D39" s="29">
        <v>326</v>
      </c>
      <c r="E39" s="33">
        <v>0.0012</v>
      </c>
      <c r="F39" s="62">
        <f t="shared" si="7"/>
        <v>3.6369648196849704</v>
      </c>
      <c r="G39" s="30">
        <v>3.47</v>
      </c>
      <c r="H39" s="29">
        <v>1962</v>
      </c>
      <c r="I39" s="56">
        <f>I$40</f>
        <v>5642</v>
      </c>
      <c r="J39" s="38">
        <f t="shared" si="8"/>
        <v>3.195978723244423</v>
      </c>
      <c r="K39" s="62">
        <f t="shared" si="9"/>
        <v>2.7901118966232534</v>
      </c>
      <c r="L39" s="23">
        <v>3.47</v>
      </c>
      <c r="M39" s="92">
        <f>M$40</f>
        <v>5626</v>
      </c>
      <c r="N39" s="36">
        <f t="shared" si="10"/>
        <v>2.7821994913864634</v>
      </c>
      <c r="O39" s="578"/>
      <c r="P39" s="574">
        <v>0</v>
      </c>
      <c r="Q39" s="578">
        <f>Q$40</f>
        <v>16</v>
      </c>
      <c r="R39" s="574">
        <f t="shared" si="11"/>
        <v>0.008590810061398297</v>
      </c>
      <c r="S39" s="573"/>
      <c r="T39" s="574">
        <v>0</v>
      </c>
      <c r="U39" s="573"/>
      <c r="V39" s="574">
        <v>0</v>
      </c>
      <c r="W39" s="573"/>
      <c r="X39" s="574">
        <v>0</v>
      </c>
      <c r="Y39" s="573"/>
      <c r="Z39" s="574">
        <v>0</v>
      </c>
      <c r="AA39" s="573"/>
      <c r="AB39" s="574">
        <v>0</v>
      </c>
      <c r="AC39" s="573"/>
      <c r="AD39" s="574">
        <v>0</v>
      </c>
      <c r="AE39" s="56">
        <f t="shared" si="12"/>
        <v>5642</v>
      </c>
    </row>
    <row r="40" spans="1:31" ht="9.75" customHeight="1">
      <c r="A40" s="392"/>
      <c r="B40" s="392"/>
      <c r="C40" s="31">
        <v>18</v>
      </c>
      <c r="D40" s="31">
        <v>324</v>
      </c>
      <c r="E40" s="91">
        <v>0.0012</v>
      </c>
      <c r="F40" s="34">
        <f t="shared" si="7"/>
        <v>3.6369648196849704</v>
      </c>
      <c r="G40" s="32">
        <v>3.47</v>
      </c>
      <c r="H40" s="31">
        <v>1962</v>
      </c>
      <c r="I40" s="57">
        <v>5642</v>
      </c>
      <c r="J40" s="35">
        <f t="shared" si="8"/>
        <v>3.195978723244423</v>
      </c>
      <c r="K40" s="34">
        <f t="shared" si="9"/>
        <v>2.7901118966232534</v>
      </c>
      <c r="L40" s="26">
        <v>3.47</v>
      </c>
      <c r="M40" s="93">
        <v>5626</v>
      </c>
      <c r="N40" s="37">
        <f t="shared" si="10"/>
        <v>2.7821994913864634</v>
      </c>
      <c r="O40" s="75"/>
      <c r="P40" s="73">
        <v>0</v>
      </c>
      <c r="Q40" s="75">
        <v>16</v>
      </c>
      <c r="R40" s="73">
        <f t="shared" si="11"/>
        <v>0.008590810061398297</v>
      </c>
      <c r="S40" s="388"/>
      <c r="T40" s="73">
        <v>0</v>
      </c>
      <c r="U40" s="388"/>
      <c r="V40" s="73">
        <v>0</v>
      </c>
      <c r="W40" s="388"/>
      <c r="X40" s="73">
        <v>0</v>
      </c>
      <c r="Y40" s="388"/>
      <c r="Z40" s="73">
        <v>0</v>
      </c>
      <c r="AA40" s="388"/>
      <c r="AB40" s="73">
        <v>0</v>
      </c>
      <c r="AC40" s="388"/>
      <c r="AD40" s="73">
        <v>0</v>
      </c>
      <c r="AE40" s="57">
        <f t="shared" si="12"/>
        <v>5642</v>
      </c>
    </row>
    <row r="41" spans="27:28" ht="12.75">
      <c r="AA41" s="36"/>
      <c r="AB41" s="36"/>
    </row>
    <row r="42" spans="27:28" ht="12.75">
      <c r="AA42" s="36"/>
      <c r="AB42" s="36"/>
    </row>
    <row r="43" spans="27:28" ht="12.75">
      <c r="AA43" s="36"/>
      <c r="AB43" s="36"/>
    </row>
  </sheetData>
  <sheetProtection/>
  <mergeCells count="19">
    <mergeCell ref="W28:X28"/>
    <mergeCell ref="W7:X7"/>
    <mergeCell ref="Y7:Z7"/>
    <mergeCell ref="AA7:AB7"/>
    <mergeCell ref="AC7:AD7"/>
    <mergeCell ref="Y28:Z28"/>
    <mergeCell ref="AC28:AD28"/>
    <mergeCell ref="AA26:AB26"/>
    <mergeCell ref="AA28:AB28"/>
    <mergeCell ref="U7:V7"/>
    <mergeCell ref="M28:N28"/>
    <mergeCell ref="O28:P28"/>
    <mergeCell ref="Q28:R28"/>
    <mergeCell ref="S28:T28"/>
    <mergeCell ref="U28:V28"/>
    <mergeCell ref="O7:P7"/>
    <mergeCell ref="M7:N7"/>
    <mergeCell ref="Q7:R7"/>
    <mergeCell ref="S7:T7"/>
  </mergeCells>
  <printOptions/>
  <pageMargins left="0.47" right="0.37" top="0.75" bottom="0.75" header="0.3" footer="0.3"/>
  <pageSetup fitToHeight="1" fitToWidth="1" horizontalDpi="600" verticalDpi="600" orientation="landscape" scale="83" r:id="rId1"/>
  <headerFooter alignWithMargins="0">
    <oddFooter>&amp;L&amp;8Revised:                            6/1/2012
App. by OSG Tech. Comm.  &amp;CPage 3 of 13 Pages</oddFooter>
  </headerFooter>
  <rowBreaks count="1" manualBreakCount="1">
    <brk id="81" max="255" man="1"/>
  </rowBreaks>
  <colBreaks count="1" manualBreakCount="1">
    <brk id="8" max="65535" man="1"/>
  </colBreaks>
</worksheet>
</file>

<file path=xl/worksheets/sheet11.xml><?xml version="1.0" encoding="utf-8"?>
<worksheet xmlns="http://schemas.openxmlformats.org/spreadsheetml/2006/main" xmlns:r="http://schemas.openxmlformats.org/officeDocument/2006/relationships">
  <sheetPr>
    <pageSetUpPr fitToPage="1"/>
  </sheetPr>
  <dimension ref="A1:AE68"/>
  <sheetViews>
    <sheetView view="pageLayout" zoomScale="0" zoomScaleNormal="85" zoomScaleSheetLayoutView="100" zoomScalePageLayoutView="0" workbookViewId="0" topLeftCell="A1">
      <selection activeCell="G28" sqref="G28"/>
      <selection activeCell="A1" sqref="A1"/>
    </sheetView>
  </sheetViews>
  <sheetFormatPr defaultColWidth="9.140625" defaultRowHeight="12.75"/>
  <cols>
    <col min="1" max="1" width="7.7109375" style="0" customWidth="1"/>
    <col min="2" max="2" width="8.7109375" style="0" customWidth="1"/>
    <col min="3" max="3" width="2.8515625" style="1" customWidth="1"/>
    <col min="4" max="4" width="4.421875" style="1" customWidth="1"/>
    <col min="5" max="5" width="3.8515625" style="253" customWidth="1"/>
    <col min="6" max="6" width="5.00390625" style="1" customWidth="1"/>
    <col min="7" max="7" width="5.140625" style="224" customWidth="1"/>
    <col min="8" max="8" width="4.421875" style="1" customWidth="1"/>
    <col min="9" max="9" width="6.421875" style="254" customWidth="1"/>
    <col min="10" max="10" width="4.8515625" style="1" customWidth="1"/>
    <col min="11" max="12" width="4.140625" style="1" customWidth="1"/>
    <col min="13" max="13" width="4.7109375" style="254" customWidth="1"/>
    <col min="14" max="15" width="4.7109375" style="1" customWidth="1"/>
    <col min="16" max="16" width="4.7109375" style="236" customWidth="1"/>
    <col min="17" max="19" width="4.7109375" style="1" customWidth="1"/>
    <col min="20" max="20" width="4.7109375" style="236" customWidth="1"/>
    <col min="21" max="21" width="4.7109375" style="1" customWidth="1"/>
    <col min="22" max="22" width="4.7109375" style="236" customWidth="1"/>
    <col min="23" max="23" width="4.7109375" style="1" customWidth="1"/>
    <col min="24" max="24" width="4.7109375" style="236" customWidth="1"/>
    <col min="25" max="25" width="4.7109375" style="1" customWidth="1"/>
    <col min="26" max="26" width="4.7109375" style="236" customWidth="1"/>
    <col min="27" max="27" width="4.7109375" style="1" customWidth="1"/>
    <col min="28" max="28" width="4.7109375" style="236" customWidth="1"/>
    <col min="29" max="29" width="4.7109375" style="1" customWidth="1"/>
    <col min="30" max="30" width="4.7109375" style="236" customWidth="1"/>
    <col min="31" max="31" width="4.7109375" style="1" customWidth="1"/>
  </cols>
  <sheetData>
    <row r="1" spans="1:31" ht="14.25">
      <c r="A1" s="88" t="s">
        <v>172</v>
      </c>
      <c r="B1" s="88"/>
      <c r="U1" s="88"/>
      <c r="V1" s="88"/>
      <c r="W1" s="88"/>
      <c r="X1" s="88"/>
      <c r="Y1" s="88"/>
      <c r="Z1" s="88"/>
      <c r="AA1" s="88"/>
      <c r="AB1" s="88"/>
      <c r="AC1" s="551"/>
      <c r="AD1" s="551"/>
      <c r="AE1" s="551"/>
    </row>
    <row r="2" spans="1:31" ht="14.25">
      <c r="A2" s="88" t="s">
        <v>1</v>
      </c>
      <c r="B2" s="88"/>
      <c r="U2"/>
      <c r="V2"/>
      <c r="W2"/>
      <c r="X2"/>
      <c r="Y2"/>
      <c r="Z2"/>
      <c r="AA2"/>
      <c r="AB2"/>
      <c r="AC2" s="551"/>
      <c r="AD2" s="551"/>
      <c r="AE2" s="551"/>
    </row>
    <row r="3" spans="1:2" ht="14.25">
      <c r="A3" s="88" t="s">
        <v>496</v>
      </c>
      <c r="B3" s="88"/>
    </row>
    <row r="4" spans="1:2" ht="14.25">
      <c r="A4" s="88" t="s">
        <v>173</v>
      </c>
      <c r="B4" s="88"/>
    </row>
    <row r="5" spans="1:2" ht="12.75">
      <c r="A5" s="22" t="s">
        <v>257</v>
      </c>
      <c r="B5" s="22"/>
    </row>
    <row r="6" ht="9.75" customHeight="1"/>
    <row r="7" spans="1:31" s="225" customFormat="1" ht="9.75" customHeight="1">
      <c r="A7" s="341"/>
      <c r="B7" s="341"/>
      <c r="C7" s="245"/>
      <c r="D7" s="245"/>
      <c r="E7" s="246"/>
      <c r="F7" s="342"/>
      <c r="G7" s="102" t="s">
        <v>44</v>
      </c>
      <c r="H7" s="245"/>
      <c r="I7" s="576" t="s">
        <v>175</v>
      </c>
      <c r="J7" s="245"/>
      <c r="K7" s="41" t="s">
        <v>203</v>
      </c>
      <c r="L7" s="42" t="s">
        <v>176</v>
      </c>
      <c r="M7" s="672" t="s">
        <v>44</v>
      </c>
      <c r="N7" s="673"/>
      <c r="O7" s="670" t="s">
        <v>66</v>
      </c>
      <c r="P7" s="671"/>
      <c r="Q7" s="675" t="s">
        <v>247</v>
      </c>
      <c r="R7" s="676"/>
      <c r="S7" s="675" t="s">
        <v>51</v>
      </c>
      <c r="T7" s="676"/>
      <c r="U7" s="675" t="s">
        <v>178</v>
      </c>
      <c r="V7" s="676"/>
      <c r="W7" s="675" t="s">
        <v>71</v>
      </c>
      <c r="X7" s="676"/>
      <c r="Y7" s="675" t="s">
        <v>65</v>
      </c>
      <c r="Z7" s="676"/>
      <c r="AA7" s="675" t="s">
        <v>139</v>
      </c>
      <c r="AB7" s="676"/>
      <c r="AC7" s="675" t="s">
        <v>208</v>
      </c>
      <c r="AD7" s="676"/>
      <c r="AE7" s="568" t="s">
        <v>7</v>
      </c>
    </row>
    <row r="8" spans="1:31" s="225" customFormat="1" ht="9.75" customHeight="1">
      <c r="A8" s="673" t="s">
        <v>179</v>
      </c>
      <c r="B8" s="673"/>
      <c r="C8" s="568" t="s">
        <v>180</v>
      </c>
      <c r="D8" s="568" t="s">
        <v>181</v>
      </c>
      <c r="E8" s="51" t="s">
        <v>182</v>
      </c>
      <c r="F8" s="41" t="s">
        <v>183</v>
      </c>
      <c r="G8" s="102" t="s">
        <v>176</v>
      </c>
      <c r="H8" s="568" t="s">
        <v>201</v>
      </c>
      <c r="I8" s="576" t="s">
        <v>184</v>
      </c>
      <c r="J8" s="568" t="s">
        <v>185</v>
      </c>
      <c r="K8" s="41" t="s">
        <v>176</v>
      </c>
      <c r="L8" s="42" t="s">
        <v>199</v>
      </c>
      <c r="M8" s="575" t="s">
        <v>187</v>
      </c>
      <c r="N8" s="568" t="s">
        <v>238</v>
      </c>
      <c r="O8" s="565" t="s">
        <v>187</v>
      </c>
      <c r="P8" s="571" t="s">
        <v>238</v>
      </c>
      <c r="Q8" s="570" t="s">
        <v>187</v>
      </c>
      <c r="R8" s="571" t="s">
        <v>238</v>
      </c>
      <c r="S8" s="570" t="s">
        <v>187</v>
      </c>
      <c r="T8" s="571" t="s">
        <v>238</v>
      </c>
      <c r="U8" s="570" t="s">
        <v>187</v>
      </c>
      <c r="V8" s="571" t="s">
        <v>238</v>
      </c>
      <c r="W8" s="570" t="s">
        <v>187</v>
      </c>
      <c r="X8" s="571" t="s">
        <v>238</v>
      </c>
      <c r="Y8" s="570" t="s">
        <v>187</v>
      </c>
      <c r="Z8" s="571" t="s">
        <v>238</v>
      </c>
      <c r="AA8" s="570" t="s">
        <v>187</v>
      </c>
      <c r="AB8" s="571" t="s">
        <v>238</v>
      </c>
      <c r="AC8" s="570" t="s">
        <v>187</v>
      </c>
      <c r="AD8" s="571" t="s">
        <v>238</v>
      </c>
      <c r="AE8" s="568" t="s">
        <v>186</v>
      </c>
    </row>
    <row r="9" spans="1:31" s="225" customFormat="1" ht="9.75" customHeight="1" thickBot="1">
      <c r="A9" s="97" t="s">
        <v>214</v>
      </c>
      <c r="B9" s="97" t="s">
        <v>215</v>
      </c>
      <c r="C9" s="78" t="s">
        <v>258</v>
      </c>
      <c r="D9" s="78" t="s">
        <v>242</v>
      </c>
      <c r="E9" s="79" t="s">
        <v>202</v>
      </c>
      <c r="F9" s="80" t="s">
        <v>191</v>
      </c>
      <c r="G9" s="111" t="s">
        <v>191</v>
      </c>
      <c r="H9" s="78" t="s">
        <v>192</v>
      </c>
      <c r="I9" s="82" t="s">
        <v>33</v>
      </c>
      <c r="J9" s="78" t="s">
        <v>194</v>
      </c>
      <c r="K9" s="80" t="s">
        <v>191</v>
      </c>
      <c r="L9" s="85" t="s">
        <v>191</v>
      </c>
      <c r="M9" s="397"/>
      <c r="N9" s="78" t="s">
        <v>191</v>
      </c>
      <c r="O9" s="379"/>
      <c r="P9" s="86" t="s">
        <v>191</v>
      </c>
      <c r="Q9" s="149"/>
      <c r="R9" s="86" t="s">
        <v>191</v>
      </c>
      <c r="S9" s="383"/>
      <c r="T9" s="86" t="s">
        <v>191</v>
      </c>
      <c r="U9" s="149"/>
      <c r="V9" s="86" t="s">
        <v>191</v>
      </c>
      <c r="W9" s="383"/>
      <c r="X9" s="86" t="s">
        <v>191</v>
      </c>
      <c r="Y9" s="149"/>
      <c r="Z9" s="86" t="s">
        <v>191</v>
      </c>
      <c r="AA9" s="383"/>
      <c r="AB9" s="86" t="s">
        <v>191</v>
      </c>
      <c r="AC9" s="383"/>
      <c r="AD9" s="86" t="s">
        <v>191</v>
      </c>
      <c r="AE9" s="344"/>
    </row>
    <row r="10" spans="1:31" s="225" customFormat="1" ht="9.75" customHeight="1" thickTop="1">
      <c r="A10" s="96" t="s">
        <v>497</v>
      </c>
      <c r="B10" s="96" t="s">
        <v>266</v>
      </c>
      <c r="C10" s="568">
        <v>8</v>
      </c>
      <c r="D10" s="568">
        <v>10</v>
      </c>
      <c r="E10" s="51">
        <v>0.004</v>
      </c>
      <c r="F10" s="62">
        <f aca="true" t="shared" si="0" ref="F10:F17">(1.486/0.013)*((3.14*($C10*$C10)/4)/144)*SQRT($E10)*POWER($C10/12/4,2/3)</f>
        <v>0.7638799151063596</v>
      </c>
      <c r="G10" s="102">
        <v>0.55</v>
      </c>
      <c r="H10" s="568">
        <v>1982</v>
      </c>
      <c r="I10" s="576">
        <v>874</v>
      </c>
      <c r="J10" s="98">
        <f aca="true" t="shared" si="1" ref="J10:J31">(18+SQRT(I10/1000))/(4+SQRT(I10/1000))</f>
        <v>3.8369486050758517</v>
      </c>
      <c r="K10" s="54">
        <f aca="true" t="shared" si="2" ref="K10:K31">I10:I10*100*J10/(7.48*24*60*60)</f>
        <v>0.5188980925734511</v>
      </c>
      <c r="L10" s="107">
        <f>G10</f>
        <v>0.55</v>
      </c>
      <c r="M10" s="109">
        <v>809</v>
      </c>
      <c r="N10" s="572">
        <f aca="true" t="shared" si="3" ref="N10:N31">J10*100*M10/(7.48*24*60*60)</f>
        <v>0.4803072733317186</v>
      </c>
      <c r="O10" s="241"/>
      <c r="P10" s="133">
        <v>0</v>
      </c>
      <c r="Q10" s="134">
        <v>65</v>
      </c>
      <c r="R10" s="574">
        <f>J10*100*Q10/(7.48*24*60*60)</f>
        <v>0.03859081924173264</v>
      </c>
      <c r="S10" s="134"/>
      <c r="T10" s="133">
        <v>0</v>
      </c>
      <c r="U10" s="134"/>
      <c r="V10" s="133">
        <v>0</v>
      </c>
      <c r="W10" s="134"/>
      <c r="X10" s="133">
        <v>0</v>
      </c>
      <c r="Y10" s="241"/>
      <c r="Z10" s="133">
        <v>0</v>
      </c>
      <c r="AA10" s="241"/>
      <c r="AB10" s="133">
        <v>0</v>
      </c>
      <c r="AC10" s="241"/>
      <c r="AD10" s="133">
        <v>0</v>
      </c>
      <c r="AE10" s="105">
        <f>M10+O10+Q10+S10+U10+W10+Y10+AA10+AC10</f>
        <v>874</v>
      </c>
    </row>
    <row r="11" spans="1:31" s="225" customFormat="1" ht="9.75" customHeight="1">
      <c r="A11" s="341"/>
      <c r="B11" s="341"/>
      <c r="C11" s="568">
        <v>8</v>
      </c>
      <c r="D11" s="568">
        <v>141</v>
      </c>
      <c r="E11" s="51">
        <v>0.004</v>
      </c>
      <c r="F11" s="62">
        <f t="shared" si="0"/>
        <v>0.7638799151063596</v>
      </c>
      <c r="G11" s="102">
        <v>0.55</v>
      </c>
      <c r="H11" s="568">
        <v>1982</v>
      </c>
      <c r="I11" s="576">
        <v>874</v>
      </c>
      <c r="J11" s="98">
        <f t="shared" si="1"/>
        <v>3.8369486050758517</v>
      </c>
      <c r="K11" s="54">
        <f t="shared" si="2"/>
        <v>0.5188980925734511</v>
      </c>
      <c r="L11" s="107">
        <f aca="true" t="shared" si="4" ref="L11:L31">G11</f>
        <v>0.55</v>
      </c>
      <c r="M11" s="575">
        <v>809</v>
      </c>
      <c r="N11" s="569">
        <f t="shared" si="3"/>
        <v>0.4803072733317186</v>
      </c>
      <c r="O11" s="241"/>
      <c r="P11" s="571">
        <v>0</v>
      </c>
      <c r="Q11" s="565">
        <v>65</v>
      </c>
      <c r="R11" s="574">
        <f aca="true" t="shared" si="5" ref="R11:R17">J11*100*Q11/(7.48*24*60*60)</f>
        <v>0.03859081924173264</v>
      </c>
      <c r="S11" s="136"/>
      <c r="T11" s="571">
        <v>0</v>
      </c>
      <c r="U11" s="136"/>
      <c r="V11" s="571">
        <v>0</v>
      </c>
      <c r="W11" s="565"/>
      <c r="X11" s="571">
        <v>0</v>
      </c>
      <c r="Y11" s="241"/>
      <c r="Z11" s="571">
        <v>0</v>
      </c>
      <c r="AA11" s="241"/>
      <c r="AB11" s="571">
        <v>0</v>
      </c>
      <c r="AC11" s="241"/>
      <c r="AD11" s="571">
        <v>0</v>
      </c>
      <c r="AE11" s="576">
        <f aca="true" t="shared" si="6" ref="AE11:AE31">M11+O11+Q11+S11+U11+W11+Y11+AA11+AC11</f>
        <v>874</v>
      </c>
    </row>
    <row r="12" spans="1:31" s="225" customFormat="1" ht="9.75" customHeight="1">
      <c r="A12" s="341"/>
      <c r="B12" s="341"/>
      <c r="C12" s="568">
        <v>8</v>
      </c>
      <c r="D12" s="568">
        <v>63</v>
      </c>
      <c r="E12" s="51">
        <v>0.004</v>
      </c>
      <c r="F12" s="62">
        <f t="shared" si="0"/>
        <v>0.7638799151063596</v>
      </c>
      <c r="G12" s="102">
        <v>0.55</v>
      </c>
      <c r="H12" s="568">
        <v>1982</v>
      </c>
      <c r="I12" s="576">
        <v>874</v>
      </c>
      <c r="J12" s="98">
        <f t="shared" si="1"/>
        <v>3.8369486050758517</v>
      </c>
      <c r="K12" s="54">
        <f t="shared" si="2"/>
        <v>0.5188980925734511</v>
      </c>
      <c r="L12" s="107">
        <f t="shared" si="4"/>
        <v>0.55</v>
      </c>
      <c r="M12" s="575">
        <v>809</v>
      </c>
      <c r="N12" s="569">
        <f t="shared" si="3"/>
        <v>0.4803072733317186</v>
      </c>
      <c r="O12" s="241"/>
      <c r="P12" s="571">
        <v>0</v>
      </c>
      <c r="Q12" s="565">
        <v>65</v>
      </c>
      <c r="R12" s="574">
        <f t="shared" si="5"/>
        <v>0.03859081924173264</v>
      </c>
      <c r="S12" s="136"/>
      <c r="T12" s="571">
        <v>0</v>
      </c>
      <c r="U12" s="136"/>
      <c r="V12" s="571">
        <v>0</v>
      </c>
      <c r="W12" s="136"/>
      <c r="X12" s="571">
        <v>0</v>
      </c>
      <c r="Y12" s="241"/>
      <c r="Z12" s="571">
        <v>0</v>
      </c>
      <c r="AA12" s="241"/>
      <c r="AB12" s="571">
        <v>0</v>
      </c>
      <c r="AC12" s="241"/>
      <c r="AD12" s="571">
        <v>0</v>
      </c>
      <c r="AE12" s="576">
        <f t="shared" si="6"/>
        <v>874</v>
      </c>
    </row>
    <row r="13" spans="1:31" s="225" customFormat="1" ht="9.75" customHeight="1">
      <c r="A13" s="96" t="s">
        <v>267</v>
      </c>
      <c r="B13" s="96" t="s">
        <v>268</v>
      </c>
      <c r="C13" s="568">
        <v>8</v>
      </c>
      <c r="D13" s="568">
        <v>398</v>
      </c>
      <c r="E13" s="51">
        <v>0.004</v>
      </c>
      <c r="F13" s="62">
        <f t="shared" si="0"/>
        <v>0.7638799151063596</v>
      </c>
      <c r="G13" s="102">
        <v>0.68</v>
      </c>
      <c r="H13" s="568">
        <v>1982</v>
      </c>
      <c r="I13" s="576">
        <v>874</v>
      </c>
      <c r="J13" s="98">
        <f t="shared" si="1"/>
        <v>3.8369486050758517</v>
      </c>
      <c r="K13" s="54">
        <f t="shared" si="2"/>
        <v>0.5188980925734511</v>
      </c>
      <c r="L13" s="107">
        <f t="shared" si="4"/>
        <v>0.68</v>
      </c>
      <c r="M13" s="575">
        <v>809</v>
      </c>
      <c r="N13" s="569">
        <f t="shared" si="3"/>
        <v>0.4803072733317186</v>
      </c>
      <c r="O13" s="241"/>
      <c r="P13" s="571">
        <v>0</v>
      </c>
      <c r="Q13" s="565">
        <v>65</v>
      </c>
      <c r="R13" s="574">
        <f t="shared" si="5"/>
        <v>0.03859081924173264</v>
      </c>
      <c r="S13" s="136"/>
      <c r="T13" s="571">
        <v>0</v>
      </c>
      <c r="U13" s="565"/>
      <c r="V13" s="571">
        <v>0</v>
      </c>
      <c r="W13" s="565"/>
      <c r="X13" s="571">
        <v>0</v>
      </c>
      <c r="Y13" s="241"/>
      <c r="Z13" s="571">
        <v>0</v>
      </c>
      <c r="AA13" s="241"/>
      <c r="AB13" s="571">
        <v>0</v>
      </c>
      <c r="AC13" s="241"/>
      <c r="AD13" s="571">
        <v>0</v>
      </c>
      <c r="AE13" s="576">
        <f t="shared" si="6"/>
        <v>874</v>
      </c>
    </row>
    <row r="14" spans="1:31" s="225" customFormat="1" ht="9.75" customHeight="1">
      <c r="A14" s="341"/>
      <c r="B14" s="341"/>
      <c r="C14" s="568">
        <v>8</v>
      </c>
      <c r="D14" s="568">
        <v>64</v>
      </c>
      <c r="E14" s="51">
        <v>0.004</v>
      </c>
      <c r="F14" s="62">
        <f t="shared" si="0"/>
        <v>0.7638799151063596</v>
      </c>
      <c r="G14" s="102">
        <v>0.68</v>
      </c>
      <c r="H14" s="568">
        <v>1982</v>
      </c>
      <c r="I14" s="576">
        <f>I$19</f>
        <v>874</v>
      </c>
      <c r="J14" s="98">
        <f t="shared" si="1"/>
        <v>3.8369486050758517</v>
      </c>
      <c r="K14" s="54">
        <f t="shared" si="2"/>
        <v>0.5188980925734511</v>
      </c>
      <c r="L14" s="102">
        <f t="shared" si="4"/>
        <v>0.68</v>
      </c>
      <c r="M14" s="173">
        <f>M$19</f>
        <v>809</v>
      </c>
      <c r="N14" s="569">
        <f t="shared" si="3"/>
        <v>0.4803072733317186</v>
      </c>
      <c r="O14" s="241"/>
      <c r="P14" s="569">
        <v>0</v>
      </c>
      <c r="Q14" s="173">
        <f>Q$19</f>
        <v>65</v>
      </c>
      <c r="R14" s="574">
        <f t="shared" si="5"/>
        <v>0.03859081924173264</v>
      </c>
      <c r="S14" s="565"/>
      <c r="T14" s="571">
        <v>0</v>
      </c>
      <c r="U14" s="565"/>
      <c r="V14" s="571">
        <v>0</v>
      </c>
      <c r="W14" s="565"/>
      <c r="X14" s="571">
        <v>0</v>
      </c>
      <c r="Y14" s="241"/>
      <c r="Z14" s="571">
        <v>0</v>
      </c>
      <c r="AA14" s="241"/>
      <c r="AB14" s="571">
        <v>0</v>
      </c>
      <c r="AC14" s="241"/>
      <c r="AD14" s="571">
        <v>0</v>
      </c>
      <c r="AE14" s="576">
        <f t="shared" si="6"/>
        <v>874</v>
      </c>
    </row>
    <row r="15" spans="1:31" s="225" customFormat="1" ht="9.75" customHeight="1">
      <c r="A15" s="96" t="s">
        <v>259</v>
      </c>
      <c r="B15" s="96"/>
      <c r="C15" s="568">
        <v>8</v>
      </c>
      <c r="D15" s="568">
        <v>207</v>
      </c>
      <c r="E15" s="51">
        <v>0.004</v>
      </c>
      <c r="F15" s="62">
        <f t="shared" si="0"/>
        <v>0.7638799151063596</v>
      </c>
      <c r="G15" s="102">
        <v>0.68</v>
      </c>
      <c r="H15" s="568">
        <v>1980</v>
      </c>
      <c r="I15" s="576">
        <f>I$19</f>
        <v>874</v>
      </c>
      <c r="J15" s="98">
        <f t="shared" si="1"/>
        <v>3.8369486050758517</v>
      </c>
      <c r="K15" s="54">
        <f t="shared" si="2"/>
        <v>0.5188980925734511</v>
      </c>
      <c r="L15" s="102">
        <f t="shared" si="4"/>
        <v>0.68</v>
      </c>
      <c r="M15" s="173">
        <f>M$19</f>
        <v>809</v>
      </c>
      <c r="N15" s="569">
        <f t="shared" si="3"/>
        <v>0.4803072733317186</v>
      </c>
      <c r="O15" s="241"/>
      <c r="P15" s="569">
        <v>0</v>
      </c>
      <c r="Q15" s="173">
        <f>Q$19</f>
        <v>65</v>
      </c>
      <c r="R15" s="574">
        <f t="shared" si="5"/>
        <v>0.03859081924173264</v>
      </c>
      <c r="S15" s="565"/>
      <c r="T15" s="571">
        <v>0</v>
      </c>
      <c r="U15" s="136"/>
      <c r="V15" s="571">
        <v>0</v>
      </c>
      <c r="W15" s="136"/>
      <c r="X15" s="571">
        <v>0</v>
      </c>
      <c r="Y15" s="241"/>
      <c r="Z15" s="571">
        <v>0</v>
      </c>
      <c r="AA15" s="241"/>
      <c r="AB15" s="571">
        <v>0</v>
      </c>
      <c r="AC15" s="241"/>
      <c r="AD15" s="571">
        <v>0</v>
      </c>
      <c r="AE15" s="576">
        <f t="shared" si="6"/>
        <v>874</v>
      </c>
    </row>
    <row r="16" spans="1:31" s="225" customFormat="1" ht="9.75" customHeight="1">
      <c r="A16" s="96" t="s">
        <v>260</v>
      </c>
      <c r="B16" s="96"/>
      <c r="C16" s="568">
        <v>8</v>
      </c>
      <c r="D16" s="568">
        <v>173</v>
      </c>
      <c r="E16" s="51">
        <v>0.004</v>
      </c>
      <c r="F16" s="62">
        <f t="shared" si="0"/>
        <v>0.7638799151063596</v>
      </c>
      <c r="G16" s="102">
        <v>0.68</v>
      </c>
      <c r="H16" s="568">
        <v>1980</v>
      </c>
      <c r="I16" s="576">
        <f>I$19</f>
        <v>874</v>
      </c>
      <c r="J16" s="98">
        <f t="shared" si="1"/>
        <v>3.8369486050758517</v>
      </c>
      <c r="K16" s="54">
        <f t="shared" si="2"/>
        <v>0.5188980925734511</v>
      </c>
      <c r="L16" s="102">
        <f t="shared" si="4"/>
        <v>0.68</v>
      </c>
      <c r="M16" s="173">
        <f>M$19</f>
        <v>809</v>
      </c>
      <c r="N16" s="569">
        <f t="shared" si="3"/>
        <v>0.4803072733317186</v>
      </c>
      <c r="O16" s="241"/>
      <c r="P16" s="569">
        <v>0</v>
      </c>
      <c r="Q16" s="173">
        <f>Q$19</f>
        <v>65</v>
      </c>
      <c r="R16" s="574">
        <f t="shared" si="5"/>
        <v>0.03859081924173264</v>
      </c>
      <c r="S16" s="136"/>
      <c r="T16" s="571">
        <v>0</v>
      </c>
      <c r="U16" s="565"/>
      <c r="V16" s="571">
        <v>0</v>
      </c>
      <c r="W16" s="565"/>
      <c r="X16" s="571">
        <v>0</v>
      </c>
      <c r="Y16" s="241"/>
      <c r="Z16" s="571">
        <v>0</v>
      </c>
      <c r="AA16" s="241"/>
      <c r="AB16" s="571">
        <v>0</v>
      </c>
      <c r="AC16" s="241"/>
      <c r="AD16" s="571">
        <v>0</v>
      </c>
      <c r="AE16" s="576">
        <f t="shared" si="6"/>
        <v>874</v>
      </c>
    </row>
    <row r="17" spans="1:31" s="225" customFormat="1" ht="9.75" customHeight="1">
      <c r="A17" s="341"/>
      <c r="B17" s="341"/>
      <c r="C17" s="568">
        <v>8</v>
      </c>
      <c r="D17" s="568">
        <v>128</v>
      </c>
      <c r="E17" s="51">
        <v>0.004</v>
      </c>
      <c r="F17" s="62">
        <f t="shared" si="0"/>
        <v>0.7638799151063596</v>
      </c>
      <c r="G17" s="102">
        <v>0.68</v>
      </c>
      <c r="H17" s="568">
        <v>1980</v>
      </c>
      <c r="I17" s="576">
        <f>I$19</f>
        <v>874</v>
      </c>
      <c r="J17" s="98">
        <f t="shared" si="1"/>
        <v>3.8369486050758517</v>
      </c>
      <c r="K17" s="54">
        <f t="shared" si="2"/>
        <v>0.5188980925734511</v>
      </c>
      <c r="L17" s="102">
        <f t="shared" si="4"/>
        <v>0.68</v>
      </c>
      <c r="M17" s="173">
        <f>M$19</f>
        <v>809</v>
      </c>
      <c r="N17" s="569">
        <f t="shared" si="3"/>
        <v>0.4803072733317186</v>
      </c>
      <c r="O17" s="241"/>
      <c r="P17" s="569">
        <v>0</v>
      </c>
      <c r="Q17" s="173">
        <f>Q$19</f>
        <v>65</v>
      </c>
      <c r="R17" s="574">
        <f t="shared" si="5"/>
        <v>0.03859081924173264</v>
      </c>
      <c r="S17" s="136"/>
      <c r="T17" s="571">
        <v>0</v>
      </c>
      <c r="U17" s="136"/>
      <c r="V17" s="571">
        <v>0</v>
      </c>
      <c r="W17" s="136"/>
      <c r="X17" s="571">
        <v>0</v>
      </c>
      <c r="Y17" s="241"/>
      <c r="Z17" s="571">
        <v>0</v>
      </c>
      <c r="AA17" s="241"/>
      <c r="AB17" s="571">
        <v>0</v>
      </c>
      <c r="AC17" s="241"/>
      <c r="AD17" s="571">
        <v>0</v>
      </c>
      <c r="AE17" s="576">
        <f t="shared" si="6"/>
        <v>874</v>
      </c>
    </row>
    <row r="18" spans="1:31" s="225" customFormat="1" ht="9.75" customHeight="1">
      <c r="A18" s="341"/>
      <c r="B18" s="341"/>
      <c r="C18" s="568"/>
      <c r="D18" s="568"/>
      <c r="E18" s="51"/>
      <c r="F18" s="41"/>
      <c r="G18" s="102"/>
      <c r="H18" s="568"/>
      <c r="I18" s="576"/>
      <c r="J18" s="98"/>
      <c r="K18" s="54"/>
      <c r="L18" s="102"/>
      <c r="M18" s="173"/>
      <c r="N18" s="569"/>
      <c r="O18" s="241"/>
      <c r="P18" s="569"/>
      <c r="Q18" s="173"/>
      <c r="R18" s="566"/>
      <c r="S18" s="136"/>
      <c r="T18" s="571"/>
      <c r="U18" s="136"/>
      <c r="V18" s="571"/>
      <c r="W18" s="136"/>
      <c r="X18" s="571"/>
      <c r="Y18" s="241"/>
      <c r="Z18" s="571"/>
      <c r="AA18" s="241"/>
      <c r="AB18" s="571"/>
      <c r="AC18" s="241"/>
      <c r="AD18" s="571"/>
      <c r="AE18" s="576"/>
    </row>
    <row r="19" spans="2:31" s="225" customFormat="1" ht="9.75" customHeight="1">
      <c r="B19" s="69" t="s">
        <v>261</v>
      </c>
      <c r="C19" s="568">
        <v>0</v>
      </c>
      <c r="D19" s="568">
        <v>0</v>
      </c>
      <c r="E19" s="51">
        <v>0</v>
      </c>
      <c r="F19" s="62">
        <v>0.76</v>
      </c>
      <c r="G19" s="102">
        <v>0.68</v>
      </c>
      <c r="H19" s="568">
        <v>1980</v>
      </c>
      <c r="I19" s="576">
        <v>874</v>
      </c>
      <c r="J19" s="98">
        <f t="shared" si="1"/>
        <v>3.8369486050758517</v>
      </c>
      <c r="K19" s="54">
        <f t="shared" si="2"/>
        <v>0.5188980925734511</v>
      </c>
      <c r="L19" s="107">
        <f t="shared" si="4"/>
        <v>0.68</v>
      </c>
      <c r="M19" s="575">
        <v>809</v>
      </c>
      <c r="N19" s="569">
        <f t="shared" si="3"/>
        <v>0.4803072733317186</v>
      </c>
      <c r="O19" s="241"/>
      <c r="P19" s="571">
        <v>0</v>
      </c>
      <c r="Q19" s="565">
        <v>65</v>
      </c>
      <c r="R19" s="574">
        <f aca="true" t="shared" si="7" ref="R19:R31">J19*100*Q19/(7.48*24*60*60)</f>
        <v>0.03859081924173264</v>
      </c>
      <c r="S19" s="136"/>
      <c r="T19" s="571">
        <v>0</v>
      </c>
      <c r="U19" s="136"/>
      <c r="V19" s="571">
        <v>0</v>
      </c>
      <c r="W19" s="565"/>
      <c r="X19" s="571">
        <v>0</v>
      </c>
      <c r="Y19" s="241"/>
      <c r="Z19" s="571">
        <v>0</v>
      </c>
      <c r="AA19" s="241"/>
      <c r="AB19" s="571">
        <v>0</v>
      </c>
      <c r="AC19" s="241"/>
      <c r="AD19" s="571">
        <v>0</v>
      </c>
      <c r="AE19" s="576">
        <f t="shared" si="6"/>
        <v>874</v>
      </c>
    </row>
    <row r="20" spans="1:31" s="225" customFormat="1" ht="9.75" customHeight="1">
      <c r="A20" s="341"/>
      <c r="B20" s="341"/>
      <c r="C20" s="568">
        <v>8</v>
      </c>
      <c r="D20" s="568">
        <v>43</v>
      </c>
      <c r="E20" s="51">
        <v>0.004</v>
      </c>
      <c r="F20" s="62"/>
      <c r="G20" s="102">
        <v>0.68</v>
      </c>
      <c r="H20" s="568">
        <v>1977</v>
      </c>
      <c r="I20" s="576">
        <v>1494</v>
      </c>
      <c r="J20" s="98">
        <f t="shared" si="1"/>
        <v>3.680814767581055</v>
      </c>
      <c r="K20" s="54">
        <f t="shared" si="2"/>
        <v>0.8509013639405847</v>
      </c>
      <c r="L20" s="107">
        <f t="shared" si="4"/>
        <v>0.68</v>
      </c>
      <c r="M20" s="575">
        <v>1429</v>
      </c>
      <c r="N20" s="569">
        <f t="shared" si="3"/>
        <v>0.8138808896058204</v>
      </c>
      <c r="O20" s="241"/>
      <c r="P20" s="571">
        <v>0</v>
      </c>
      <c r="Q20" s="565">
        <v>65</v>
      </c>
      <c r="R20" s="574">
        <f t="shared" si="7"/>
        <v>0.0370204743347644</v>
      </c>
      <c r="S20" s="136"/>
      <c r="T20" s="571">
        <v>0</v>
      </c>
      <c r="U20" s="136"/>
      <c r="V20" s="571">
        <v>0</v>
      </c>
      <c r="W20" s="136"/>
      <c r="X20" s="571">
        <v>0</v>
      </c>
      <c r="Y20" s="241"/>
      <c r="Z20" s="571">
        <v>0</v>
      </c>
      <c r="AA20" s="241"/>
      <c r="AB20" s="571">
        <v>0</v>
      </c>
      <c r="AC20" s="241"/>
      <c r="AD20" s="571">
        <v>0</v>
      </c>
      <c r="AE20" s="576">
        <f t="shared" si="6"/>
        <v>1494</v>
      </c>
    </row>
    <row r="21" spans="1:31" s="225" customFormat="1" ht="9.75" customHeight="1">
      <c r="A21" s="341"/>
      <c r="B21" s="341"/>
      <c r="C21" s="568">
        <v>10</v>
      </c>
      <c r="D21" s="568">
        <v>328</v>
      </c>
      <c r="E21" s="51">
        <v>0.0028</v>
      </c>
      <c r="F21" s="62">
        <f aca="true" t="shared" si="8" ref="F21:F31">(1.486/0.013)*((3.14*($C21*$C21)/4)/144)*SQRT($E21)*POWER($C21/12/4,2/3)</f>
        <v>1.1587795241143175</v>
      </c>
      <c r="G21" s="102">
        <v>0.72</v>
      </c>
      <c r="H21" s="568">
        <v>1977</v>
      </c>
      <c r="I21" s="576">
        <v>1494</v>
      </c>
      <c r="J21" s="98">
        <f t="shared" si="1"/>
        <v>3.680814767581055</v>
      </c>
      <c r="K21" s="54">
        <f t="shared" si="2"/>
        <v>0.8509013639405847</v>
      </c>
      <c r="L21" s="107">
        <f t="shared" si="4"/>
        <v>0.72</v>
      </c>
      <c r="M21" s="575">
        <v>1429</v>
      </c>
      <c r="N21" s="569">
        <f t="shared" si="3"/>
        <v>0.8138808896058204</v>
      </c>
      <c r="O21" s="241"/>
      <c r="P21" s="571">
        <v>0</v>
      </c>
      <c r="Q21" s="565">
        <v>65</v>
      </c>
      <c r="R21" s="574">
        <f t="shared" si="7"/>
        <v>0.0370204743347644</v>
      </c>
      <c r="S21" s="136"/>
      <c r="T21" s="571">
        <v>0</v>
      </c>
      <c r="U21" s="136"/>
      <c r="V21" s="571">
        <v>0</v>
      </c>
      <c r="W21" s="136"/>
      <c r="X21" s="571">
        <v>0</v>
      </c>
      <c r="Y21" s="241"/>
      <c r="Z21" s="571">
        <v>0</v>
      </c>
      <c r="AA21" s="241"/>
      <c r="AB21" s="571">
        <v>0</v>
      </c>
      <c r="AC21" s="241"/>
      <c r="AD21" s="571">
        <v>0</v>
      </c>
      <c r="AE21" s="576">
        <f t="shared" si="6"/>
        <v>1494</v>
      </c>
    </row>
    <row r="22" spans="1:31" s="225" customFormat="1" ht="9.75" customHeight="1">
      <c r="A22" s="96" t="s">
        <v>270</v>
      </c>
      <c r="B22" s="96"/>
      <c r="C22" s="568">
        <v>10</v>
      </c>
      <c r="D22" s="568">
        <v>125</v>
      </c>
      <c r="E22" s="51">
        <v>0.0028</v>
      </c>
      <c r="F22" s="62">
        <f t="shared" si="8"/>
        <v>1.1587795241143175</v>
      </c>
      <c r="G22" s="102">
        <v>0.72</v>
      </c>
      <c r="H22" s="568">
        <v>1977</v>
      </c>
      <c r="I22" s="576">
        <v>1494</v>
      </c>
      <c r="J22" s="98">
        <f t="shared" si="1"/>
        <v>3.680814767581055</v>
      </c>
      <c r="K22" s="54">
        <f t="shared" si="2"/>
        <v>0.8509013639405847</v>
      </c>
      <c r="L22" s="107">
        <f t="shared" si="4"/>
        <v>0.72</v>
      </c>
      <c r="M22" s="575">
        <f aca="true" t="shared" si="9" ref="M22:M27">M$28</f>
        <v>1429</v>
      </c>
      <c r="N22" s="569">
        <f t="shared" si="3"/>
        <v>0.8138808896058204</v>
      </c>
      <c r="O22" s="241"/>
      <c r="P22" s="571">
        <v>0</v>
      </c>
      <c r="Q22" s="565">
        <f aca="true" t="shared" si="10" ref="Q22:Q27">Q$28</f>
        <v>65</v>
      </c>
      <c r="R22" s="574">
        <f t="shared" si="7"/>
        <v>0.0370204743347644</v>
      </c>
      <c r="S22" s="565"/>
      <c r="T22" s="571">
        <v>0</v>
      </c>
      <c r="U22" s="136"/>
      <c r="V22" s="571">
        <v>0</v>
      </c>
      <c r="W22" s="565"/>
      <c r="X22" s="571">
        <v>0</v>
      </c>
      <c r="Y22" s="241"/>
      <c r="Z22" s="571">
        <v>0</v>
      </c>
      <c r="AA22" s="241"/>
      <c r="AB22" s="571">
        <v>0</v>
      </c>
      <c r="AC22" s="241"/>
      <c r="AD22" s="571">
        <v>0</v>
      </c>
      <c r="AE22" s="576">
        <f t="shared" si="6"/>
        <v>1494</v>
      </c>
    </row>
    <row r="23" spans="1:31" s="225" customFormat="1" ht="9.75" customHeight="1">
      <c r="A23" s="341"/>
      <c r="B23" s="341"/>
      <c r="C23" s="568">
        <v>10</v>
      </c>
      <c r="D23" s="568">
        <v>202</v>
      </c>
      <c r="E23" s="51">
        <v>0.0028</v>
      </c>
      <c r="F23" s="62">
        <f t="shared" si="8"/>
        <v>1.1587795241143175</v>
      </c>
      <c r="G23" s="102">
        <v>0.72</v>
      </c>
      <c r="H23" s="568">
        <v>1977</v>
      </c>
      <c r="I23" s="576">
        <v>1494</v>
      </c>
      <c r="J23" s="98">
        <f t="shared" si="1"/>
        <v>3.680814767581055</v>
      </c>
      <c r="K23" s="54">
        <f t="shared" si="2"/>
        <v>0.8509013639405847</v>
      </c>
      <c r="L23" s="107">
        <f t="shared" si="4"/>
        <v>0.72</v>
      </c>
      <c r="M23" s="575">
        <f t="shared" si="9"/>
        <v>1429</v>
      </c>
      <c r="N23" s="569">
        <f t="shared" si="3"/>
        <v>0.8138808896058204</v>
      </c>
      <c r="O23" s="241"/>
      <c r="P23" s="571">
        <v>0</v>
      </c>
      <c r="Q23" s="565">
        <f t="shared" si="10"/>
        <v>65</v>
      </c>
      <c r="R23" s="574">
        <f t="shared" si="7"/>
        <v>0.0370204743347644</v>
      </c>
      <c r="S23" s="565"/>
      <c r="T23" s="571">
        <v>0</v>
      </c>
      <c r="U23" s="565"/>
      <c r="V23" s="571">
        <v>0</v>
      </c>
      <c r="W23" s="565"/>
      <c r="X23" s="571">
        <v>0</v>
      </c>
      <c r="Y23" s="241"/>
      <c r="Z23" s="571">
        <v>0</v>
      </c>
      <c r="AA23" s="241"/>
      <c r="AB23" s="571">
        <v>0</v>
      </c>
      <c r="AC23" s="241"/>
      <c r="AD23" s="571">
        <v>0</v>
      </c>
      <c r="AE23" s="576">
        <f t="shared" si="6"/>
        <v>1494</v>
      </c>
    </row>
    <row r="24" spans="1:31" s="225" customFormat="1" ht="9.75" customHeight="1">
      <c r="A24" s="96" t="s">
        <v>269</v>
      </c>
      <c r="B24" s="96" t="s">
        <v>270</v>
      </c>
      <c r="C24" s="568">
        <v>10</v>
      </c>
      <c r="D24" s="568">
        <v>340</v>
      </c>
      <c r="E24" s="51">
        <v>0.0028</v>
      </c>
      <c r="F24" s="62">
        <f t="shared" si="8"/>
        <v>1.1587795241143175</v>
      </c>
      <c r="G24" s="102">
        <v>0.79</v>
      </c>
      <c r="H24" s="568">
        <v>1977</v>
      </c>
      <c r="I24" s="576">
        <f>I$28</f>
        <v>1494</v>
      </c>
      <c r="J24" s="98">
        <f t="shared" si="1"/>
        <v>3.680814767581055</v>
      </c>
      <c r="K24" s="54">
        <f t="shared" si="2"/>
        <v>0.8509013639405847</v>
      </c>
      <c r="L24" s="107">
        <f t="shared" si="4"/>
        <v>0.79</v>
      </c>
      <c r="M24" s="575">
        <f t="shared" si="9"/>
        <v>1429</v>
      </c>
      <c r="N24" s="569">
        <f t="shared" si="3"/>
        <v>0.8138808896058204</v>
      </c>
      <c r="O24" s="241"/>
      <c r="P24" s="571">
        <v>0</v>
      </c>
      <c r="Q24" s="565">
        <f t="shared" si="10"/>
        <v>65</v>
      </c>
      <c r="R24" s="574">
        <f t="shared" si="7"/>
        <v>0.0370204743347644</v>
      </c>
      <c r="S24" s="565"/>
      <c r="T24" s="571">
        <v>0</v>
      </c>
      <c r="U24" s="565"/>
      <c r="V24" s="571">
        <v>0</v>
      </c>
      <c r="W24" s="565"/>
      <c r="X24" s="571">
        <v>0</v>
      </c>
      <c r="Y24" s="241"/>
      <c r="Z24" s="571">
        <v>0</v>
      </c>
      <c r="AA24" s="241"/>
      <c r="AB24" s="571">
        <v>0</v>
      </c>
      <c r="AC24" s="241"/>
      <c r="AD24" s="571">
        <v>0</v>
      </c>
      <c r="AE24" s="576">
        <f t="shared" si="6"/>
        <v>1494</v>
      </c>
    </row>
    <row r="25" spans="1:31" s="225" customFormat="1" ht="9.75" customHeight="1">
      <c r="A25" s="341"/>
      <c r="B25" s="341"/>
      <c r="C25" s="568">
        <v>10</v>
      </c>
      <c r="D25" s="568">
        <v>104</v>
      </c>
      <c r="E25" s="51">
        <v>0.0028</v>
      </c>
      <c r="F25" s="62">
        <f t="shared" si="8"/>
        <v>1.1587795241143175</v>
      </c>
      <c r="G25" s="102">
        <v>0.79</v>
      </c>
      <c r="H25" s="568">
        <v>1977</v>
      </c>
      <c r="I25" s="576">
        <f>I$28</f>
        <v>1494</v>
      </c>
      <c r="J25" s="98">
        <f t="shared" si="1"/>
        <v>3.680814767581055</v>
      </c>
      <c r="K25" s="54">
        <f t="shared" si="2"/>
        <v>0.8509013639405847</v>
      </c>
      <c r="L25" s="107">
        <f t="shared" si="4"/>
        <v>0.79</v>
      </c>
      <c r="M25" s="575">
        <f t="shared" si="9"/>
        <v>1429</v>
      </c>
      <c r="N25" s="569">
        <f t="shared" si="3"/>
        <v>0.8138808896058204</v>
      </c>
      <c r="O25" s="241"/>
      <c r="P25" s="571">
        <v>0</v>
      </c>
      <c r="Q25" s="565">
        <f t="shared" si="10"/>
        <v>65</v>
      </c>
      <c r="R25" s="574">
        <f t="shared" si="7"/>
        <v>0.0370204743347644</v>
      </c>
      <c r="S25" s="565"/>
      <c r="T25" s="571">
        <v>0</v>
      </c>
      <c r="U25" s="565"/>
      <c r="V25" s="571">
        <v>0</v>
      </c>
      <c r="W25" s="565"/>
      <c r="X25" s="571">
        <v>0</v>
      </c>
      <c r="Y25" s="241"/>
      <c r="Z25" s="571">
        <v>0</v>
      </c>
      <c r="AA25" s="241"/>
      <c r="AB25" s="571">
        <v>0</v>
      </c>
      <c r="AC25" s="241"/>
      <c r="AD25" s="571">
        <v>0</v>
      </c>
      <c r="AE25" s="576">
        <f t="shared" si="6"/>
        <v>1494</v>
      </c>
    </row>
    <row r="26" spans="1:31" s="225" customFormat="1" ht="9.75" customHeight="1">
      <c r="A26" s="96" t="s">
        <v>269</v>
      </c>
      <c r="B26" s="96" t="s">
        <v>271</v>
      </c>
      <c r="C26" s="568">
        <v>10</v>
      </c>
      <c r="D26" s="568">
        <v>124</v>
      </c>
      <c r="E26" s="51">
        <v>0.0028</v>
      </c>
      <c r="F26" s="62">
        <f t="shared" si="8"/>
        <v>1.1587795241143175</v>
      </c>
      <c r="G26" s="102">
        <v>0.79</v>
      </c>
      <c r="H26" s="568">
        <v>1977</v>
      </c>
      <c r="I26" s="576">
        <f>I$28</f>
        <v>1494</v>
      </c>
      <c r="J26" s="98">
        <f t="shared" si="1"/>
        <v>3.680814767581055</v>
      </c>
      <c r="K26" s="54">
        <f t="shared" si="2"/>
        <v>0.8509013639405847</v>
      </c>
      <c r="L26" s="107">
        <f t="shared" si="4"/>
        <v>0.79</v>
      </c>
      <c r="M26" s="575">
        <f t="shared" si="9"/>
        <v>1429</v>
      </c>
      <c r="N26" s="569">
        <f t="shared" si="3"/>
        <v>0.8138808896058204</v>
      </c>
      <c r="O26" s="241"/>
      <c r="P26" s="571">
        <v>0</v>
      </c>
      <c r="Q26" s="565">
        <f t="shared" si="10"/>
        <v>65</v>
      </c>
      <c r="R26" s="574">
        <f t="shared" si="7"/>
        <v>0.0370204743347644</v>
      </c>
      <c r="S26" s="565"/>
      <c r="T26" s="571">
        <v>0</v>
      </c>
      <c r="U26" s="136"/>
      <c r="V26" s="571">
        <v>0</v>
      </c>
      <c r="W26" s="136"/>
      <c r="X26" s="571">
        <v>0</v>
      </c>
      <c r="Y26" s="241"/>
      <c r="Z26" s="571">
        <v>0</v>
      </c>
      <c r="AA26" s="241"/>
      <c r="AB26" s="571">
        <v>0</v>
      </c>
      <c r="AC26" s="241"/>
      <c r="AD26" s="571">
        <v>0</v>
      </c>
      <c r="AE26" s="576">
        <f t="shared" si="6"/>
        <v>1494</v>
      </c>
    </row>
    <row r="27" spans="1:31" s="225" customFormat="1" ht="9.75" customHeight="1">
      <c r="A27" s="341"/>
      <c r="B27" s="341"/>
      <c r="C27" s="568">
        <v>10</v>
      </c>
      <c r="D27" s="568">
        <v>131</v>
      </c>
      <c r="E27" s="51">
        <v>0.0028</v>
      </c>
      <c r="F27" s="62">
        <f t="shared" si="8"/>
        <v>1.1587795241143175</v>
      </c>
      <c r="G27" s="102">
        <v>0.79</v>
      </c>
      <c r="H27" s="568">
        <v>1977</v>
      </c>
      <c r="I27" s="576">
        <f>I$28</f>
        <v>1494</v>
      </c>
      <c r="J27" s="98">
        <f t="shared" si="1"/>
        <v>3.680814767581055</v>
      </c>
      <c r="K27" s="54">
        <f t="shared" si="2"/>
        <v>0.8509013639405847</v>
      </c>
      <c r="L27" s="107">
        <f t="shared" si="4"/>
        <v>0.79</v>
      </c>
      <c r="M27" s="575">
        <f t="shared" si="9"/>
        <v>1429</v>
      </c>
      <c r="N27" s="569">
        <f t="shared" si="3"/>
        <v>0.8138808896058204</v>
      </c>
      <c r="O27" s="241"/>
      <c r="P27" s="571">
        <v>0</v>
      </c>
      <c r="Q27" s="565">
        <f t="shared" si="10"/>
        <v>65</v>
      </c>
      <c r="R27" s="574">
        <f t="shared" si="7"/>
        <v>0.0370204743347644</v>
      </c>
      <c r="S27" s="136"/>
      <c r="T27" s="571">
        <v>0</v>
      </c>
      <c r="U27" s="136"/>
      <c r="V27" s="571">
        <v>0</v>
      </c>
      <c r="W27" s="136"/>
      <c r="X27" s="571">
        <v>0</v>
      </c>
      <c r="Y27" s="241"/>
      <c r="Z27" s="571">
        <v>0</v>
      </c>
      <c r="AA27" s="241"/>
      <c r="AB27" s="571">
        <v>0</v>
      </c>
      <c r="AC27" s="241"/>
      <c r="AD27" s="571">
        <v>0</v>
      </c>
      <c r="AE27" s="576">
        <f t="shared" si="6"/>
        <v>1494</v>
      </c>
    </row>
    <row r="28" spans="1:31" s="225" customFormat="1" ht="9.75" customHeight="1">
      <c r="A28" s="341"/>
      <c r="B28" s="341"/>
      <c r="C28" s="568">
        <v>10</v>
      </c>
      <c r="D28" s="568">
        <v>199</v>
      </c>
      <c r="E28" s="51">
        <v>0.0028</v>
      </c>
      <c r="F28" s="62">
        <f t="shared" si="8"/>
        <v>1.1587795241143175</v>
      </c>
      <c r="G28" s="102">
        <v>0.79</v>
      </c>
      <c r="H28" s="568">
        <v>1969</v>
      </c>
      <c r="I28" s="576">
        <v>1494</v>
      </c>
      <c r="J28" s="98">
        <f t="shared" si="1"/>
        <v>3.680814767581055</v>
      </c>
      <c r="K28" s="54">
        <f t="shared" si="2"/>
        <v>0.8509013639405847</v>
      </c>
      <c r="L28" s="107">
        <f t="shared" si="4"/>
        <v>0.79</v>
      </c>
      <c r="M28" s="575">
        <v>1429</v>
      </c>
      <c r="N28" s="569">
        <f t="shared" si="3"/>
        <v>0.8138808896058204</v>
      </c>
      <c r="O28" s="241"/>
      <c r="P28" s="571">
        <v>0</v>
      </c>
      <c r="Q28" s="565">
        <v>65</v>
      </c>
      <c r="R28" s="574">
        <f t="shared" si="7"/>
        <v>0.0370204743347644</v>
      </c>
      <c r="S28" s="565"/>
      <c r="T28" s="571">
        <v>0</v>
      </c>
      <c r="U28" s="136"/>
      <c r="V28" s="571">
        <v>0</v>
      </c>
      <c r="W28" s="136"/>
      <c r="X28" s="571">
        <v>0</v>
      </c>
      <c r="Y28" s="241"/>
      <c r="Z28" s="571">
        <v>0</v>
      </c>
      <c r="AA28" s="241"/>
      <c r="AB28" s="571">
        <v>0</v>
      </c>
      <c r="AC28" s="241"/>
      <c r="AD28" s="571">
        <v>0</v>
      </c>
      <c r="AE28" s="576">
        <f t="shared" si="6"/>
        <v>1494</v>
      </c>
    </row>
    <row r="29" spans="1:31" s="225" customFormat="1" ht="9.75" customHeight="1">
      <c r="A29" s="96" t="s">
        <v>269</v>
      </c>
      <c r="B29" s="96" t="s">
        <v>272</v>
      </c>
      <c r="C29" s="568">
        <v>10</v>
      </c>
      <c r="D29" s="568">
        <v>230</v>
      </c>
      <c r="E29" s="51">
        <v>0.0028</v>
      </c>
      <c r="F29" s="62">
        <f t="shared" si="8"/>
        <v>1.1587795241143175</v>
      </c>
      <c r="G29" s="102">
        <v>0.9</v>
      </c>
      <c r="H29" s="568">
        <v>1969</v>
      </c>
      <c r="I29" s="576">
        <v>1494</v>
      </c>
      <c r="J29" s="98">
        <f t="shared" si="1"/>
        <v>3.680814767581055</v>
      </c>
      <c r="K29" s="54">
        <f t="shared" si="2"/>
        <v>0.8509013639405847</v>
      </c>
      <c r="L29" s="107">
        <f t="shared" si="4"/>
        <v>0.9</v>
      </c>
      <c r="M29" s="575">
        <v>1429</v>
      </c>
      <c r="N29" s="569">
        <f t="shared" si="3"/>
        <v>0.8138808896058204</v>
      </c>
      <c r="O29" s="241"/>
      <c r="P29" s="571">
        <v>0</v>
      </c>
      <c r="Q29" s="565">
        <v>65</v>
      </c>
      <c r="R29" s="574">
        <f t="shared" si="7"/>
        <v>0.0370204743347644</v>
      </c>
      <c r="S29" s="136"/>
      <c r="T29" s="571">
        <v>0</v>
      </c>
      <c r="U29" s="565"/>
      <c r="V29" s="571">
        <v>0</v>
      </c>
      <c r="W29" s="136"/>
      <c r="X29" s="571">
        <v>0</v>
      </c>
      <c r="Y29" s="241"/>
      <c r="Z29" s="571">
        <v>0</v>
      </c>
      <c r="AA29" s="241"/>
      <c r="AB29" s="571">
        <v>0</v>
      </c>
      <c r="AC29" s="241"/>
      <c r="AD29" s="571">
        <v>0</v>
      </c>
      <c r="AE29" s="576">
        <f t="shared" si="6"/>
        <v>1494</v>
      </c>
    </row>
    <row r="30" spans="1:31" s="225" customFormat="1" ht="9.75" customHeight="1">
      <c r="A30" s="341"/>
      <c r="B30" s="341"/>
      <c r="C30" s="568">
        <v>10</v>
      </c>
      <c r="D30" s="568">
        <v>189</v>
      </c>
      <c r="E30" s="51">
        <v>0.0028</v>
      </c>
      <c r="F30" s="62">
        <f t="shared" si="8"/>
        <v>1.1587795241143175</v>
      </c>
      <c r="G30" s="102">
        <v>0.9</v>
      </c>
      <c r="H30" s="568">
        <v>1969</v>
      </c>
      <c r="I30" s="576">
        <v>1494</v>
      </c>
      <c r="J30" s="98">
        <f t="shared" si="1"/>
        <v>3.680814767581055</v>
      </c>
      <c r="K30" s="54">
        <f t="shared" si="2"/>
        <v>0.8509013639405847</v>
      </c>
      <c r="L30" s="107">
        <f t="shared" si="4"/>
        <v>0.9</v>
      </c>
      <c r="M30" s="575">
        <v>1429</v>
      </c>
      <c r="N30" s="569">
        <f t="shared" si="3"/>
        <v>0.8138808896058204</v>
      </c>
      <c r="O30" s="241"/>
      <c r="P30" s="571">
        <v>0</v>
      </c>
      <c r="Q30" s="565">
        <v>65</v>
      </c>
      <c r="R30" s="574">
        <f t="shared" si="7"/>
        <v>0.0370204743347644</v>
      </c>
      <c r="S30" s="136"/>
      <c r="T30" s="571">
        <v>0</v>
      </c>
      <c r="U30" s="136"/>
      <c r="V30" s="571">
        <v>0</v>
      </c>
      <c r="W30" s="136"/>
      <c r="X30" s="571">
        <v>0</v>
      </c>
      <c r="Y30" s="241"/>
      <c r="Z30" s="571">
        <v>0</v>
      </c>
      <c r="AA30" s="241"/>
      <c r="AB30" s="571">
        <v>0</v>
      </c>
      <c r="AC30" s="241"/>
      <c r="AD30" s="571">
        <v>0</v>
      </c>
      <c r="AE30" s="576">
        <f t="shared" si="6"/>
        <v>1494</v>
      </c>
    </row>
    <row r="31" spans="1:31" s="225" customFormat="1" ht="9.75" customHeight="1">
      <c r="A31" s="99" t="s">
        <v>269</v>
      </c>
      <c r="B31" s="99" t="s">
        <v>218</v>
      </c>
      <c r="C31" s="43">
        <v>10</v>
      </c>
      <c r="D31" s="43">
        <v>44</v>
      </c>
      <c r="E31" s="52">
        <v>0.0028</v>
      </c>
      <c r="F31" s="34">
        <f t="shared" si="8"/>
        <v>1.1587795241143175</v>
      </c>
      <c r="G31" s="103">
        <v>0.9</v>
      </c>
      <c r="H31" s="43">
        <v>1962</v>
      </c>
      <c r="I31" s="55">
        <v>1494</v>
      </c>
      <c r="J31" s="100">
        <f t="shared" si="1"/>
        <v>3.680814767581055</v>
      </c>
      <c r="K31" s="61">
        <f t="shared" si="2"/>
        <v>0.8509013639405847</v>
      </c>
      <c r="L31" s="108">
        <f t="shared" si="4"/>
        <v>0.9</v>
      </c>
      <c r="M31" s="101">
        <v>1429</v>
      </c>
      <c r="N31" s="67">
        <f t="shared" si="3"/>
        <v>0.8138808896058204</v>
      </c>
      <c r="O31" s="396"/>
      <c r="P31" s="71">
        <v>0</v>
      </c>
      <c r="Q31" s="135">
        <v>65</v>
      </c>
      <c r="R31" s="73">
        <f t="shared" si="7"/>
        <v>0.0370204743347644</v>
      </c>
      <c r="S31" s="135"/>
      <c r="T31" s="71">
        <v>0</v>
      </c>
      <c r="U31" s="137"/>
      <c r="V31" s="71">
        <v>0</v>
      </c>
      <c r="W31" s="137"/>
      <c r="X31" s="71">
        <v>0</v>
      </c>
      <c r="Y31" s="396"/>
      <c r="Z31" s="71">
        <v>0</v>
      </c>
      <c r="AA31" s="396"/>
      <c r="AB31" s="71">
        <v>0</v>
      </c>
      <c r="AC31" s="396"/>
      <c r="AD31" s="71">
        <v>0</v>
      </c>
      <c r="AE31" s="55">
        <f t="shared" si="6"/>
        <v>1494</v>
      </c>
    </row>
    <row r="32" spans="3:31" s="225" customFormat="1" ht="9.75" customHeight="1">
      <c r="C32" s="245"/>
      <c r="D32" s="245"/>
      <c r="E32" s="246"/>
      <c r="F32" s="245"/>
      <c r="G32" s="247"/>
      <c r="H32" s="245"/>
      <c r="I32" s="248"/>
      <c r="J32" s="245"/>
      <c r="K32" s="245"/>
      <c r="L32" s="245"/>
      <c r="M32" s="248"/>
      <c r="N32" s="245"/>
      <c r="O32" s="245"/>
      <c r="P32" s="249"/>
      <c r="Q32" s="245"/>
      <c r="R32" s="245"/>
      <c r="S32" s="245"/>
      <c r="T32" s="249"/>
      <c r="U32" s="245"/>
      <c r="V32" s="249"/>
      <c r="W32" s="245"/>
      <c r="X32" s="249"/>
      <c r="Y32" s="245"/>
      <c r="Z32" s="249"/>
      <c r="AA32" s="245"/>
      <c r="AB32" s="249"/>
      <c r="AC32" s="245"/>
      <c r="AD32" s="249"/>
      <c r="AE32" s="245"/>
    </row>
    <row r="33" spans="1:31" s="225" customFormat="1" ht="9.75" customHeight="1">
      <c r="A33" s="69" t="s">
        <v>262</v>
      </c>
      <c r="B33" s="69"/>
      <c r="C33" s="245"/>
      <c r="D33" s="245"/>
      <c r="E33" s="246"/>
      <c r="F33" s="245"/>
      <c r="G33" s="247"/>
      <c r="H33" s="245"/>
      <c r="I33" s="248"/>
      <c r="J33" s="245"/>
      <c r="K33" s="245"/>
      <c r="L33" s="245"/>
      <c r="M33" s="248"/>
      <c r="N33" s="245"/>
      <c r="O33" s="245"/>
      <c r="P33" s="249"/>
      <c r="Q33" s="245"/>
      <c r="R33" s="245"/>
      <c r="S33" s="245"/>
      <c r="T33" s="249"/>
      <c r="U33" s="245"/>
      <c r="V33" s="249"/>
      <c r="W33" s="245"/>
      <c r="X33" s="249"/>
      <c r="Y33" s="245"/>
      <c r="Z33" s="249"/>
      <c r="AA33" s="245"/>
      <c r="AB33" s="249"/>
      <c r="AC33" s="245"/>
      <c r="AD33" s="249"/>
      <c r="AE33" s="245"/>
    </row>
    <row r="34" spans="3:31" s="225" customFormat="1" ht="9.75" customHeight="1">
      <c r="C34" s="245"/>
      <c r="D34" s="245"/>
      <c r="E34" s="246"/>
      <c r="F34" s="245"/>
      <c r="G34" s="247"/>
      <c r="H34" s="245"/>
      <c r="I34" s="248"/>
      <c r="J34" s="245"/>
      <c r="K34" s="245"/>
      <c r="L34" s="245"/>
      <c r="M34" s="248"/>
      <c r="N34" s="245"/>
      <c r="O34" s="245"/>
      <c r="P34" s="249"/>
      <c r="Q34" s="245"/>
      <c r="R34" s="245"/>
      <c r="S34" s="245"/>
      <c r="T34" s="249"/>
      <c r="U34" s="245"/>
      <c r="V34" s="249"/>
      <c r="W34" s="245"/>
      <c r="X34" s="249"/>
      <c r="Y34" s="245"/>
      <c r="Z34" s="249"/>
      <c r="AA34" s="245"/>
      <c r="AB34" s="249"/>
      <c r="AC34" s="245"/>
      <c r="AD34" s="249"/>
      <c r="AE34" s="245"/>
    </row>
    <row r="35" spans="1:31" s="225" customFormat="1" ht="9.75" customHeight="1">
      <c r="A35" s="341"/>
      <c r="B35" s="341"/>
      <c r="C35" s="245"/>
      <c r="D35" s="245"/>
      <c r="E35" s="246"/>
      <c r="F35" s="342"/>
      <c r="G35" s="102" t="s">
        <v>44</v>
      </c>
      <c r="H35" s="245"/>
      <c r="I35" s="576" t="s">
        <v>175</v>
      </c>
      <c r="J35" s="245"/>
      <c r="K35" s="41" t="s">
        <v>203</v>
      </c>
      <c r="L35" s="42" t="s">
        <v>176</v>
      </c>
      <c r="M35" s="672" t="s">
        <v>44</v>
      </c>
      <c r="N35" s="673"/>
      <c r="O35" s="670" t="s">
        <v>66</v>
      </c>
      <c r="P35" s="671"/>
      <c r="Q35" s="675" t="s">
        <v>247</v>
      </c>
      <c r="R35" s="676"/>
      <c r="S35" s="675" t="s">
        <v>51</v>
      </c>
      <c r="T35" s="676"/>
      <c r="U35" s="675" t="s">
        <v>178</v>
      </c>
      <c r="V35" s="676"/>
      <c r="W35" s="675" t="s">
        <v>71</v>
      </c>
      <c r="X35" s="676"/>
      <c r="Y35" s="675" t="s">
        <v>65</v>
      </c>
      <c r="Z35" s="676"/>
      <c r="AA35" s="675" t="s">
        <v>139</v>
      </c>
      <c r="AB35" s="676"/>
      <c r="AC35" s="675" t="s">
        <v>208</v>
      </c>
      <c r="AD35" s="676"/>
      <c r="AE35" s="565" t="s">
        <v>7</v>
      </c>
    </row>
    <row r="36" spans="1:31" s="225" customFormat="1" ht="9.75" customHeight="1">
      <c r="A36" s="673" t="s">
        <v>179</v>
      </c>
      <c r="B36" s="673"/>
      <c r="C36" s="568" t="s">
        <v>180</v>
      </c>
      <c r="D36" s="568" t="s">
        <v>181</v>
      </c>
      <c r="E36" s="51" t="s">
        <v>182</v>
      </c>
      <c r="F36" s="41" t="s">
        <v>183</v>
      </c>
      <c r="G36" s="102" t="s">
        <v>176</v>
      </c>
      <c r="H36" s="568" t="s">
        <v>201</v>
      </c>
      <c r="I36" s="576" t="s">
        <v>184</v>
      </c>
      <c r="J36" s="568" t="s">
        <v>185</v>
      </c>
      <c r="K36" s="41" t="s">
        <v>176</v>
      </c>
      <c r="L36" s="42" t="s">
        <v>199</v>
      </c>
      <c r="M36" s="575" t="s">
        <v>187</v>
      </c>
      <c r="N36" s="568" t="s">
        <v>238</v>
      </c>
      <c r="O36" s="565" t="s">
        <v>187</v>
      </c>
      <c r="P36" s="571" t="s">
        <v>238</v>
      </c>
      <c r="Q36" s="570" t="s">
        <v>187</v>
      </c>
      <c r="R36" s="571" t="s">
        <v>238</v>
      </c>
      <c r="S36" s="570" t="s">
        <v>187</v>
      </c>
      <c r="T36" s="571" t="s">
        <v>238</v>
      </c>
      <c r="U36" s="570" t="s">
        <v>187</v>
      </c>
      <c r="V36" s="571" t="s">
        <v>238</v>
      </c>
      <c r="W36" s="570" t="s">
        <v>187</v>
      </c>
      <c r="X36" s="571" t="s">
        <v>238</v>
      </c>
      <c r="Y36" s="570" t="s">
        <v>187</v>
      </c>
      <c r="Z36" s="571" t="s">
        <v>238</v>
      </c>
      <c r="AA36" s="570" t="s">
        <v>187</v>
      </c>
      <c r="AB36" s="571" t="s">
        <v>238</v>
      </c>
      <c r="AC36" s="570" t="s">
        <v>187</v>
      </c>
      <c r="AD36" s="571" t="s">
        <v>238</v>
      </c>
      <c r="AE36" s="568" t="s">
        <v>186</v>
      </c>
    </row>
    <row r="37" spans="1:31" s="225" customFormat="1" ht="9.75" customHeight="1" thickBot="1">
      <c r="A37" s="97" t="s">
        <v>214</v>
      </c>
      <c r="B37" s="97" t="s">
        <v>215</v>
      </c>
      <c r="C37" s="78" t="s">
        <v>258</v>
      </c>
      <c r="D37" s="78" t="s">
        <v>242</v>
      </c>
      <c r="E37" s="79" t="s">
        <v>202</v>
      </c>
      <c r="F37" s="80" t="s">
        <v>191</v>
      </c>
      <c r="G37" s="111" t="s">
        <v>191</v>
      </c>
      <c r="H37" s="78" t="s">
        <v>192</v>
      </c>
      <c r="I37" s="82" t="s">
        <v>33</v>
      </c>
      <c r="J37" s="78" t="s">
        <v>194</v>
      </c>
      <c r="K37" s="80" t="s">
        <v>191</v>
      </c>
      <c r="L37" s="85" t="s">
        <v>191</v>
      </c>
      <c r="M37" s="397"/>
      <c r="N37" s="78" t="s">
        <v>191</v>
      </c>
      <c r="O37" s="379"/>
      <c r="P37" s="86" t="s">
        <v>191</v>
      </c>
      <c r="Q37" s="149"/>
      <c r="R37" s="86" t="s">
        <v>191</v>
      </c>
      <c r="S37" s="383"/>
      <c r="T37" s="86" t="s">
        <v>191</v>
      </c>
      <c r="U37" s="149"/>
      <c r="V37" s="86" t="s">
        <v>191</v>
      </c>
      <c r="W37" s="383"/>
      <c r="X37" s="86" t="s">
        <v>191</v>
      </c>
      <c r="Y37" s="149"/>
      <c r="Z37" s="86" t="s">
        <v>191</v>
      </c>
      <c r="AA37" s="383"/>
      <c r="AB37" s="86" t="s">
        <v>191</v>
      </c>
      <c r="AC37" s="383"/>
      <c r="AD37" s="86" t="s">
        <v>191</v>
      </c>
      <c r="AE37" s="344"/>
    </row>
    <row r="38" spans="1:31" s="225" customFormat="1" ht="9.75" customHeight="1" thickTop="1">
      <c r="A38" s="112" t="s">
        <v>227</v>
      </c>
      <c r="B38" s="112" t="s">
        <v>268</v>
      </c>
      <c r="C38" s="49">
        <v>8</v>
      </c>
      <c r="D38" s="49">
        <v>33</v>
      </c>
      <c r="E38" s="53">
        <v>0.004</v>
      </c>
      <c r="F38" s="398">
        <f aca="true" t="shared" si="11" ref="F38:F47">(1.486/0.013)*((3.14*($C38*$C38)/4)/144)*SQRT($E38)*POWER($C38/12/4,2/3)</f>
        <v>0.7638799151063596</v>
      </c>
      <c r="G38" s="104">
        <v>0.74</v>
      </c>
      <c r="H38" s="49">
        <v>1970</v>
      </c>
      <c r="I38" s="105">
        <f>I$40</f>
        <v>1453</v>
      </c>
      <c r="J38" s="115">
        <f aca="true" t="shared" si="12" ref="J38:J47">(18+SQRT(I38/1000))/(4+SQRT(I38/1000))</f>
        <v>3.6895124114978572</v>
      </c>
      <c r="K38" s="116">
        <f aca="true" t="shared" si="13" ref="K38:K47">I38:I38*100*J38/(7.48*24*60*60)</f>
        <v>0.8295054611535679</v>
      </c>
      <c r="L38" s="106">
        <f aca="true" t="shared" si="14" ref="L38:L47">G38</f>
        <v>0.74</v>
      </c>
      <c r="M38" s="109">
        <f>M$40</f>
        <v>1430</v>
      </c>
      <c r="N38" s="572">
        <f aca="true" t="shared" si="15" ref="N38:N47">J38*100*M38/(7.48*24*60*60)</f>
        <v>0.8163749548861681</v>
      </c>
      <c r="O38" s="134"/>
      <c r="P38" s="133">
        <v>0</v>
      </c>
      <c r="Q38" s="134">
        <f>Q$40</f>
        <v>23</v>
      </c>
      <c r="R38" s="72">
        <f aca="true" t="shared" si="16" ref="R38:R47">J38*100*Q38/(7.48*24*60*60)</f>
        <v>0.013130506267399906</v>
      </c>
      <c r="S38" s="134"/>
      <c r="T38" s="133">
        <v>0</v>
      </c>
      <c r="U38" s="138"/>
      <c r="V38" s="133">
        <v>0</v>
      </c>
      <c r="W38" s="138"/>
      <c r="X38" s="133">
        <v>0</v>
      </c>
      <c r="Y38" s="241"/>
      <c r="Z38" s="571">
        <v>0</v>
      </c>
      <c r="AA38" s="241"/>
      <c r="AB38" s="571">
        <v>0</v>
      </c>
      <c r="AC38" s="241"/>
      <c r="AD38" s="571">
        <v>0</v>
      </c>
      <c r="AE38" s="576">
        <f aca="true" t="shared" si="17" ref="AE38:AE47">M38+O38+Q38+S38+U38+W38+Y38+AA38+AC38</f>
        <v>1453</v>
      </c>
    </row>
    <row r="39" spans="1:31" s="225" customFormat="1" ht="9.75" customHeight="1">
      <c r="A39" s="341"/>
      <c r="B39" s="341"/>
      <c r="C39" s="568">
        <v>10</v>
      </c>
      <c r="D39" s="568">
        <v>310</v>
      </c>
      <c r="E39" s="51">
        <v>0.0028</v>
      </c>
      <c r="F39" s="62">
        <f t="shared" si="11"/>
        <v>1.1587795241143175</v>
      </c>
      <c r="G39" s="102">
        <v>0.74</v>
      </c>
      <c r="H39" s="568">
        <v>1970</v>
      </c>
      <c r="I39" s="576">
        <f>I$40</f>
        <v>1453</v>
      </c>
      <c r="J39" s="98">
        <f t="shared" si="12"/>
        <v>3.6895124114978572</v>
      </c>
      <c r="K39" s="54">
        <f t="shared" si="13"/>
        <v>0.8295054611535679</v>
      </c>
      <c r="L39" s="107">
        <f t="shared" si="14"/>
        <v>0.74</v>
      </c>
      <c r="M39" s="575">
        <f>M$40</f>
        <v>1430</v>
      </c>
      <c r="N39" s="569">
        <f t="shared" si="15"/>
        <v>0.8163749548861681</v>
      </c>
      <c r="O39" s="136"/>
      <c r="P39" s="571">
        <v>0</v>
      </c>
      <c r="Q39" s="565">
        <f>Q$40</f>
        <v>23</v>
      </c>
      <c r="R39" s="574">
        <f t="shared" si="16"/>
        <v>0.013130506267399906</v>
      </c>
      <c r="S39" s="136"/>
      <c r="T39" s="571">
        <v>0</v>
      </c>
      <c r="U39" s="565"/>
      <c r="V39" s="571">
        <v>0</v>
      </c>
      <c r="W39" s="136"/>
      <c r="X39" s="571">
        <v>0</v>
      </c>
      <c r="Y39" s="241"/>
      <c r="Z39" s="571">
        <v>0</v>
      </c>
      <c r="AA39" s="241"/>
      <c r="AB39" s="571">
        <v>0</v>
      </c>
      <c r="AC39" s="241"/>
      <c r="AD39" s="571">
        <v>0</v>
      </c>
      <c r="AE39" s="576">
        <f t="shared" si="17"/>
        <v>1453</v>
      </c>
    </row>
    <row r="40" spans="1:31" s="225" customFormat="1" ht="9.75" customHeight="1">
      <c r="A40" s="341"/>
      <c r="B40" s="341"/>
      <c r="C40" s="568">
        <v>10</v>
      </c>
      <c r="D40" s="568">
        <v>300</v>
      </c>
      <c r="E40" s="51">
        <v>0.0028</v>
      </c>
      <c r="F40" s="62">
        <f t="shared" si="11"/>
        <v>1.1587795241143175</v>
      </c>
      <c r="G40" s="102">
        <v>0.74</v>
      </c>
      <c r="H40" s="568">
        <v>1970</v>
      </c>
      <c r="I40" s="576">
        <v>1453</v>
      </c>
      <c r="J40" s="98">
        <f t="shared" si="12"/>
        <v>3.6895124114978572</v>
      </c>
      <c r="K40" s="54">
        <f t="shared" si="13"/>
        <v>0.8295054611535679</v>
      </c>
      <c r="L40" s="107">
        <f t="shared" si="14"/>
        <v>0.74</v>
      </c>
      <c r="M40" s="575">
        <v>1430</v>
      </c>
      <c r="N40" s="569">
        <f t="shared" si="15"/>
        <v>0.8163749548861681</v>
      </c>
      <c r="O40" s="136"/>
      <c r="P40" s="571">
        <v>0</v>
      </c>
      <c r="Q40" s="565">
        <v>23</v>
      </c>
      <c r="R40" s="574">
        <f t="shared" si="16"/>
        <v>0.013130506267399906</v>
      </c>
      <c r="S40" s="136"/>
      <c r="T40" s="571">
        <v>0</v>
      </c>
      <c r="U40" s="136"/>
      <c r="V40" s="571">
        <v>0</v>
      </c>
      <c r="W40" s="136"/>
      <c r="X40" s="571">
        <v>0</v>
      </c>
      <c r="Y40" s="241"/>
      <c r="Z40" s="571">
        <v>0</v>
      </c>
      <c r="AA40" s="241"/>
      <c r="AB40" s="571">
        <v>0</v>
      </c>
      <c r="AC40" s="241"/>
      <c r="AD40" s="571">
        <v>0</v>
      </c>
      <c r="AE40" s="576">
        <f t="shared" si="17"/>
        <v>1453</v>
      </c>
    </row>
    <row r="41" spans="1:31" s="225" customFormat="1" ht="9.75" customHeight="1">
      <c r="A41" s="341"/>
      <c r="B41" s="341"/>
      <c r="C41" s="568">
        <v>10</v>
      </c>
      <c r="D41" s="568">
        <v>160</v>
      </c>
      <c r="E41" s="51">
        <v>0.0028</v>
      </c>
      <c r="F41" s="62">
        <f t="shared" si="11"/>
        <v>1.1587795241143175</v>
      </c>
      <c r="G41" s="102">
        <v>0.74</v>
      </c>
      <c r="H41" s="568">
        <v>1969</v>
      </c>
      <c r="I41" s="576">
        <v>1453</v>
      </c>
      <c r="J41" s="98">
        <f t="shared" si="12"/>
        <v>3.6895124114978572</v>
      </c>
      <c r="K41" s="54">
        <f t="shared" si="13"/>
        <v>0.8295054611535679</v>
      </c>
      <c r="L41" s="107">
        <f t="shared" si="14"/>
        <v>0.74</v>
      </c>
      <c r="M41" s="575">
        <v>1430</v>
      </c>
      <c r="N41" s="569">
        <f t="shared" si="15"/>
        <v>0.8163749548861681</v>
      </c>
      <c r="O41" s="565"/>
      <c r="P41" s="571">
        <v>0</v>
      </c>
      <c r="Q41" s="565">
        <v>23</v>
      </c>
      <c r="R41" s="574">
        <f t="shared" si="16"/>
        <v>0.013130506267399906</v>
      </c>
      <c r="S41" s="136"/>
      <c r="T41" s="571">
        <v>0</v>
      </c>
      <c r="U41" s="565"/>
      <c r="V41" s="571">
        <v>0</v>
      </c>
      <c r="W41" s="136"/>
      <c r="X41" s="571">
        <v>0</v>
      </c>
      <c r="Y41" s="241"/>
      <c r="Z41" s="571">
        <v>0</v>
      </c>
      <c r="AA41" s="241"/>
      <c r="AB41" s="571">
        <v>0</v>
      </c>
      <c r="AC41" s="241"/>
      <c r="AD41" s="571">
        <v>0</v>
      </c>
      <c r="AE41" s="576">
        <f t="shared" si="17"/>
        <v>1453</v>
      </c>
    </row>
    <row r="42" spans="2:31" s="225" customFormat="1" ht="9.75" customHeight="1">
      <c r="B42" s="96" t="s">
        <v>263</v>
      </c>
      <c r="C42" s="568">
        <v>10</v>
      </c>
      <c r="D42" s="568">
        <v>400</v>
      </c>
      <c r="E42" s="51">
        <v>0.0028</v>
      </c>
      <c r="F42" s="62">
        <f t="shared" si="11"/>
        <v>1.1587795241143175</v>
      </c>
      <c r="G42" s="102">
        <v>0.85</v>
      </c>
      <c r="H42" s="568">
        <v>1969</v>
      </c>
      <c r="I42" s="576">
        <v>1453</v>
      </c>
      <c r="J42" s="98">
        <f t="shared" si="12"/>
        <v>3.6895124114978572</v>
      </c>
      <c r="K42" s="54">
        <f t="shared" si="13"/>
        <v>0.8295054611535679</v>
      </c>
      <c r="L42" s="107">
        <f t="shared" si="14"/>
        <v>0.85</v>
      </c>
      <c r="M42" s="575">
        <v>1430</v>
      </c>
      <c r="N42" s="569">
        <f t="shared" si="15"/>
        <v>0.8163749548861681</v>
      </c>
      <c r="O42" s="565"/>
      <c r="P42" s="571">
        <v>0</v>
      </c>
      <c r="Q42" s="565">
        <v>23</v>
      </c>
      <c r="R42" s="574">
        <f t="shared" si="16"/>
        <v>0.013130506267399906</v>
      </c>
      <c r="S42" s="136"/>
      <c r="T42" s="571">
        <v>0</v>
      </c>
      <c r="U42" s="136"/>
      <c r="V42" s="571">
        <v>0</v>
      </c>
      <c r="W42" s="136"/>
      <c r="X42" s="571">
        <v>0</v>
      </c>
      <c r="Y42" s="241"/>
      <c r="Z42" s="571">
        <v>0</v>
      </c>
      <c r="AA42" s="241"/>
      <c r="AB42" s="571">
        <v>0</v>
      </c>
      <c r="AC42" s="241"/>
      <c r="AD42" s="571">
        <v>0</v>
      </c>
      <c r="AE42" s="576">
        <f t="shared" si="17"/>
        <v>1453</v>
      </c>
    </row>
    <row r="43" spans="1:31" s="225" customFormat="1" ht="9.75" customHeight="1">
      <c r="A43" s="341"/>
      <c r="B43" s="341"/>
      <c r="C43" s="568">
        <v>10</v>
      </c>
      <c r="D43" s="568">
        <v>400</v>
      </c>
      <c r="E43" s="51">
        <v>0.0028</v>
      </c>
      <c r="F43" s="62">
        <f t="shared" si="11"/>
        <v>1.1587795241143175</v>
      </c>
      <c r="G43" s="102">
        <v>0.85</v>
      </c>
      <c r="H43" s="568">
        <v>1969</v>
      </c>
      <c r="I43" s="576">
        <v>1453</v>
      </c>
      <c r="J43" s="98">
        <f t="shared" si="12"/>
        <v>3.6895124114978572</v>
      </c>
      <c r="K43" s="54">
        <f t="shared" si="13"/>
        <v>0.8295054611535679</v>
      </c>
      <c r="L43" s="107">
        <f t="shared" si="14"/>
        <v>0.85</v>
      </c>
      <c r="M43" s="575">
        <f>M$46</f>
        <v>1430</v>
      </c>
      <c r="N43" s="569">
        <f t="shared" si="15"/>
        <v>0.8163749548861681</v>
      </c>
      <c r="O43" s="565"/>
      <c r="P43" s="571">
        <v>0</v>
      </c>
      <c r="Q43" s="565">
        <f>Q$46</f>
        <v>23</v>
      </c>
      <c r="R43" s="574">
        <f t="shared" si="16"/>
        <v>0.013130506267399906</v>
      </c>
      <c r="S43" s="136"/>
      <c r="T43" s="571">
        <v>0</v>
      </c>
      <c r="U43" s="565"/>
      <c r="V43" s="571">
        <v>0</v>
      </c>
      <c r="W43" s="136"/>
      <c r="X43" s="571">
        <v>0</v>
      </c>
      <c r="Y43" s="241"/>
      <c r="Z43" s="571">
        <v>0</v>
      </c>
      <c r="AA43" s="241"/>
      <c r="AB43" s="571">
        <v>0</v>
      </c>
      <c r="AC43" s="241"/>
      <c r="AD43" s="571">
        <v>0</v>
      </c>
      <c r="AE43" s="576">
        <f t="shared" si="17"/>
        <v>1453</v>
      </c>
    </row>
    <row r="44" spans="1:31" s="225" customFormat="1" ht="9.75" customHeight="1">
      <c r="A44" s="341"/>
      <c r="B44" s="341"/>
      <c r="C44" s="568">
        <v>10</v>
      </c>
      <c r="D44" s="568">
        <v>37</v>
      </c>
      <c r="E44" s="51">
        <v>0.0028</v>
      </c>
      <c r="F44" s="62">
        <f t="shared" si="11"/>
        <v>1.1587795241143175</v>
      </c>
      <c r="G44" s="102" t="s">
        <v>264</v>
      </c>
      <c r="H44" s="568">
        <v>1969</v>
      </c>
      <c r="I44" s="576">
        <v>1453</v>
      </c>
      <c r="J44" s="98">
        <f t="shared" si="12"/>
        <v>3.6895124114978572</v>
      </c>
      <c r="K44" s="54">
        <f t="shared" si="13"/>
        <v>0.8295054611535679</v>
      </c>
      <c r="L44" s="107" t="str">
        <f t="shared" si="14"/>
        <v>0.8S</v>
      </c>
      <c r="M44" s="575">
        <f>M$46</f>
        <v>1430</v>
      </c>
      <c r="N44" s="569">
        <f t="shared" si="15"/>
        <v>0.8163749548861681</v>
      </c>
      <c r="O44" s="136"/>
      <c r="P44" s="571">
        <v>0</v>
      </c>
      <c r="Q44" s="565">
        <f>Q$46</f>
        <v>23</v>
      </c>
      <c r="R44" s="574">
        <f t="shared" si="16"/>
        <v>0.013130506267399906</v>
      </c>
      <c r="S44" s="565"/>
      <c r="T44" s="571">
        <v>0</v>
      </c>
      <c r="U44" s="136"/>
      <c r="V44" s="571">
        <v>0</v>
      </c>
      <c r="W44" s="136"/>
      <c r="X44" s="571">
        <v>0</v>
      </c>
      <c r="Y44" s="241"/>
      <c r="Z44" s="571">
        <v>0</v>
      </c>
      <c r="AA44" s="241"/>
      <c r="AB44" s="571">
        <v>0</v>
      </c>
      <c r="AC44" s="241"/>
      <c r="AD44" s="571">
        <v>0</v>
      </c>
      <c r="AE44" s="576">
        <f t="shared" si="17"/>
        <v>1453</v>
      </c>
    </row>
    <row r="45" spans="1:31" s="225" customFormat="1" ht="9.75" customHeight="1">
      <c r="A45" s="341"/>
      <c r="B45" s="341"/>
      <c r="C45" s="568">
        <v>10</v>
      </c>
      <c r="D45" s="568">
        <v>295</v>
      </c>
      <c r="E45" s="51">
        <v>0.0028</v>
      </c>
      <c r="F45" s="62">
        <f t="shared" si="11"/>
        <v>1.1587795241143175</v>
      </c>
      <c r="G45" s="102">
        <v>0.98</v>
      </c>
      <c r="H45" s="568">
        <v>1963</v>
      </c>
      <c r="I45" s="576">
        <v>1453</v>
      </c>
      <c r="J45" s="98">
        <f t="shared" si="12"/>
        <v>3.6895124114978572</v>
      </c>
      <c r="K45" s="54">
        <f t="shared" si="13"/>
        <v>0.8295054611535679</v>
      </c>
      <c r="L45" s="107">
        <f t="shared" si="14"/>
        <v>0.98</v>
      </c>
      <c r="M45" s="575">
        <f>M$46</f>
        <v>1430</v>
      </c>
      <c r="N45" s="569">
        <f t="shared" si="15"/>
        <v>0.8163749548861681</v>
      </c>
      <c r="O45" s="136"/>
      <c r="P45" s="571">
        <v>0</v>
      </c>
      <c r="Q45" s="565">
        <f>Q$46</f>
        <v>23</v>
      </c>
      <c r="R45" s="574">
        <f t="shared" si="16"/>
        <v>0.013130506267399906</v>
      </c>
      <c r="S45" s="565"/>
      <c r="T45" s="571">
        <v>0</v>
      </c>
      <c r="U45" s="136"/>
      <c r="V45" s="571">
        <v>0</v>
      </c>
      <c r="W45" s="565"/>
      <c r="X45" s="571">
        <v>0</v>
      </c>
      <c r="Y45" s="241"/>
      <c r="Z45" s="571">
        <v>0</v>
      </c>
      <c r="AA45" s="241"/>
      <c r="AB45" s="571">
        <v>0</v>
      </c>
      <c r="AC45" s="241"/>
      <c r="AD45" s="571">
        <v>0</v>
      </c>
      <c r="AE45" s="576">
        <f t="shared" si="17"/>
        <v>1453</v>
      </c>
    </row>
    <row r="46" spans="1:31" s="225" customFormat="1" ht="9.75" customHeight="1">
      <c r="A46" s="341"/>
      <c r="B46" s="341"/>
      <c r="C46" s="568">
        <v>10</v>
      </c>
      <c r="D46" s="568">
        <v>350</v>
      </c>
      <c r="E46" s="51">
        <v>0.0028</v>
      </c>
      <c r="F46" s="62">
        <f t="shared" si="11"/>
        <v>1.1587795241143175</v>
      </c>
      <c r="G46" s="102">
        <v>1.03</v>
      </c>
      <c r="H46" s="568">
        <v>1963</v>
      </c>
      <c r="I46" s="576">
        <v>1453</v>
      </c>
      <c r="J46" s="98">
        <f t="shared" si="12"/>
        <v>3.6895124114978572</v>
      </c>
      <c r="K46" s="54">
        <f t="shared" si="13"/>
        <v>0.8295054611535679</v>
      </c>
      <c r="L46" s="107">
        <f t="shared" si="14"/>
        <v>1.03</v>
      </c>
      <c r="M46" s="575">
        <v>1430</v>
      </c>
      <c r="N46" s="569">
        <f t="shared" si="15"/>
        <v>0.8163749548861681</v>
      </c>
      <c r="O46" s="565"/>
      <c r="P46" s="571">
        <v>0</v>
      </c>
      <c r="Q46" s="565">
        <v>23</v>
      </c>
      <c r="R46" s="574">
        <f t="shared" si="16"/>
        <v>0.013130506267399906</v>
      </c>
      <c r="S46" s="565"/>
      <c r="T46" s="571">
        <v>0</v>
      </c>
      <c r="U46" s="565"/>
      <c r="V46" s="571">
        <v>0</v>
      </c>
      <c r="W46" s="565"/>
      <c r="X46" s="571">
        <v>0</v>
      </c>
      <c r="Y46" s="241"/>
      <c r="Z46" s="571">
        <v>0</v>
      </c>
      <c r="AA46" s="241"/>
      <c r="AB46" s="571">
        <v>0</v>
      </c>
      <c r="AC46" s="241"/>
      <c r="AD46" s="571">
        <v>0</v>
      </c>
      <c r="AE46" s="576">
        <f t="shared" si="17"/>
        <v>1453</v>
      </c>
    </row>
    <row r="47" spans="2:31" s="225" customFormat="1" ht="9.75" customHeight="1">
      <c r="B47" s="99" t="s">
        <v>265</v>
      </c>
      <c r="C47" s="43">
        <v>10</v>
      </c>
      <c r="D47" s="43">
        <v>340</v>
      </c>
      <c r="E47" s="52">
        <v>0.0028</v>
      </c>
      <c r="F47" s="34">
        <f t="shared" si="11"/>
        <v>1.1587795241143175</v>
      </c>
      <c r="G47" s="103">
        <v>1.03</v>
      </c>
      <c r="H47" s="43">
        <v>1963</v>
      </c>
      <c r="I47" s="55">
        <v>1453</v>
      </c>
      <c r="J47" s="100">
        <f t="shared" si="12"/>
        <v>3.6895124114978572</v>
      </c>
      <c r="K47" s="61">
        <f t="shared" si="13"/>
        <v>0.8295054611535679</v>
      </c>
      <c r="L47" s="108">
        <f t="shared" si="14"/>
        <v>1.03</v>
      </c>
      <c r="M47" s="101">
        <v>1430</v>
      </c>
      <c r="N47" s="67">
        <f t="shared" si="15"/>
        <v>0.8163749548861681</v>
      </c>
      <c r="O47" s="135"/>
      <c r="P47" s="71">
        <v>0</v>
      </c>
      <c r="Q47" s="135">
        <v>23</v>
      </c>
      <c r="R47" s="73">
        <f t="shared" si="16"/>
        <v>0.013130506267399906</v>
      </c>
      <c r="S47" s="135"/>
      <c r="T47" s="71">
        <v>0</v>
      </c>
      <c r="U47" s="137"/>
      <c r="V47" s="71">
        <v>0</v>
      </c>
      <c r="W47" s="137"/>
      <c r="X47" s="71">
        <v>0</v>
      </c>
      <c r="Y47" s="396"/>
      <c r="Z47" s="71">
        <v>0</v>
      </c>
      <c r="AA47" s="396"/>
      <c r="AB47" s="71">
        <v>0</v>
      </c>
      <c r="AC47" s="396"/>
      <c r="AD47" s="71">
        <v>0</v>
      </c>
      <c r="AE47" s="55">
        <f t="shared" si="17"/>
        <v>1453</v>
      </c>
    </row>
    <row r="48" spans="3:31" s="634" customFormat="1" ht="12.75">
      <c r="C48" s="629"/>
      <c r="D48" s="629"/>
      <c r="E48" s="630"/>
      <c r="F48" s="629"/>
      <c r="G48" s="631"/>
      <c r="H48" s="629"/>
      <c r="I48" s="632"/>
      <c r="J48" s="629"/>
      <c r="K48" s="629"/>
      <c r="L48" s="629"/>
      <c r="M48" s="632"/>
      <c r="N48" s="629"/>
      <c r="O48" s="629"/>
      <c r="P48" s="633"/>
      <c r="Q48" s="629"/>
      <c r="R48" s="629"/>
      <c r="S48" s="629"/>
      <c r="T48" s="633"/>
      <c r="U48" s="629"/>
      <c r="V48" s="633"/>
      <c r="W48" s="629"/>
      <c r="X48" s="633"/>
      <c r="Y48" s="629"/>
      <c r="Z48" s="633"/>
      <c r="AA48" s="629"/>
      <c r="AB48" s="633"/>
      <c r="AC48" s="629"/>
      <c r="AD48" s="633"/>
      <c r="AE48" s="629"/>
    </row>
    <row r="49" spans="3:31" s="225" customFormat="1" ht="12.75">
      <c r="C49" s="245"/>
      <c r="D49" s="245"/>
      <c r="E49" s="246"/>
      <c r="F49" s="245"/>
      <c r="G49" s="247"/>
      <c r="H49" s="245"/>
      <c r="I49" s="248"/>
      <c r="J49" s="245"/>
      <c r="K49" s="245"/>
      <c r="L49" s="245"/>
      <c r="M49" s="248"/>
      <c r="N49" s="245"/>
      <c r="O49" s="245"/>
      <c r="P49" s="249"/>
      <c r="Q49" s="245"/>
      <c r="R49" s="245"/>
      <c r="S49" s="245"/>
      <c r="T49" s="249"/>
      <c r="U49" s="245"/>
      <c r="V49" s="249"/>
      <c r="W49" s="245"/>
      <c r="X49" s="249"/>
      <c r="Y49" s="245"/>
      <c r="Z49" s="249"/>
      <c r="AA49" s="245"/>
      <c r="AB49" s="249"/>
      <c r="AC49" s="245"/>
      <c r="AD49" s="249"/>
      <c r="AE49" s="245"/>
    </row>
    <row r="68" spans="3:31" s="589" customFormat="1" ht="12.75">
      <c r="C68" s="590"/>
      <c r="D68" s="590"/>
      <c r="E68" s="639"/>
      <c r="F68" s="590"/>
      <c r="G68" s="640"/>
      <c r="H68" s="590"/>
      <c r="I68" s="641"/>
      <c r="J68" s="590"/>
      <c r="K68" s="590"/>
      <c r="L68" s="590"/>
      <c r="M68" s="641"/>
      <c r="N68" s="590"/>
      <c r="O68" s="590"/>
      <c r="P68" s="642"/>
      <c r="Q68" s="590"/>
      <c r="R68" s="590"/>
      <c r="S68" s="590"/>
      <c r="T68" s="642"/>
      <c r="U68" s="590"/>
      <c r="V68" s="642"/>
      <c r="W68" s="590"/>
      <c r="X68" s="642"/>
      <c r="Y68" s="590"/>
      <c r="Z68" s="642"/>
      <c r="AA68" s="590"/>
      <c r="AB68" s="642"/>
      <c r="AC68" s="590"/>
      <c r="AD68" s="642"/>
      <c r="AE68" s="590"/>
    </row>
  </sheetData>
  <sheetProtection/>
  <mergeCells count="20">
    <mergeCell ref="AC35:AD35"/>
    <mergeCell ref="AC7:AD7"/>
    <mergeCell ref="AA7:AB7"/>
    <mergeCell ref="M35:N35"/>
    <mergeCell ref="O35:P35"/>
    <mergeCell ref="Q35:R35"/>
    <mergeCell ref="S35:T35"/>
    <mergeCell ref="U35:V35"/>
    <mergeCell ref="W35:X35"/>
    <mergeCell ref="Y35:Z35"/>
    <mergeCell ref="AA35:AB35"/>
    <mergeCell ref="M7:N7"/>
    <mergeCell ref="A36:B36"/>
    <mergeCell ref="U7:V7"/>
    <mergeCell ref="W7:X7"/>
    <mergeCell ref="Y7:Z7"/>
    <mergeCell ref="A8:B8"/>
    <mergeCell ref="O7:P7"/>
    <mergeCell ref="Q7:R7"/>
    <mergeCell ref="S7:T7"/>
  </mergeCells>
  <printOptions/>
  <pageMargins left="0.47" right="0.36" top="0.75" bottom="0.75" header="0.3" footer="0.3"/>
  <pageSetup fitToHeight="1" fitToWidth="1" horizontalDpi="600" verticalDpi="600" orientation="landscape" scale="87" r:id="rId1"/>
  <headerFooter alignWithMargins="0">
    <oddFooter>&amp;L&amp;8Revised:                             6/1/2012
App. by OSG Tech. Comm.  &amp;CPage 4 of 13 Pages</oddFooter>
  </headerFooter>
  <rowBreaks count="1" manualBreakCount="1">
    <brk id="81" max="255" man="1"/>
  </rowBreaks>
  <colBreaks count="1" manualBreakCount="1">
    <brk id="8"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A1:AF68"/>
  <sheetViews>
    <sheetView view="pageLayout" zoomScale="0" zoomScaleSheetLayoutView="100" zoomScalePageLayoutView="0" workbookViewId="0" topLeftCell="A1">
      <selection activeCell="G28" sqref="G28"/>
      <selection activeCell="A1" sqref="A1"/>
    </sheetView>
  </sheetViews>
  <sheetFormatPr defaultColWidth="9.140625" defaultRowHeight="12.75"/>
  <cols>
    <col min="1" max="1" width="9.8515625" style="225" customWidth="1"/>
    <col min="2" max="2" width="6.8515625" style="225" customWidth="1"/>
    <col min="3" max="4" width="4.7109375" style="225" customWidth="1"/>
    <col min="5" max="5" width="5.7109375" style="250" customWidth="1"/>
    <col min="6" max="6" width="6.421875" style="225" customWidth="1"/>
    <col min="7" max="7" width="4.7109375" style="251" customWidth="1"/>
    <col min="8" max="8" width="4.7109375" style="225" customWidth="1"/>
    <col min="9" max="9" width="6.140625" style="252" customWidth="1"/>
    <col min="10" max="10" width="4.8515625" style="225" customWidth="1"/>
    <col min="11" max="11" width="4.140625" style="225" customWidth="1"/>
    <col min="12" max="12" width="4.7109375" style="225" customWidth="1"/>
    <col min="13" max="13" width="4.7109375" style="252" customWidth="1"/>
    <col min="14" max="14" width="4.8515625" style="249" customWidth="1"/>
    <col min="15" max="18" width="4.7109375" style="225" customWidth="1"/>
    <col min="19" max="22" width="4.7109375" style="69" customWidth="1"/>
    <col min="23" max="31" width="4.7109375" style="225" customWidth="1"/>
    <col min="32" max="16384" width="9.140625" style="225" customWidth="1"/>
  </cols>
  <sheetData>
    <row r="1" spans="1:31" ht="14.25">
      <c r="A1" s="166" t="s">
        <v>172</v>
      </c>
      <c r="B1" s="166"/>
      <c r="U1" s="88"/>
      <c r="V1" s="88"/>
      <c r="W1" s="88"/>
      <c r="X1" s="88"/>
      <c r="Y1" s="88"/>
      <c r="Z1" s="88"/>
      <c r="AA1" s="88"/>
      <c r="AB1" s="88"/>
      <c r="AC1" s="551"/>
      <c r="AD1" s="551"/>
      <c r="AE1" s="551"/>
    </row>
    <row r="2" spans="1:31" ht="14.25">
      <c r="A2" s="166" t="s">
        <v>1</v>
      </c>
      <c r="B2" s="166"/>
      <c r="R2" s="568"/>
      <c r="U2"/>
      <c r="V2"/>
      <c r="W2"/>
      <c r="X2"/>
      <c r="Y2"/>
      <c r="Z2"/>
      <c r="AA2"/>
      <c r="AB2"/>
      <c r="AC2" s="551"/>
      <c r="AD2" s="551"/>
      <c r="AE2" s="551"/>
    </row>
    <row r="3" spans="1:30" ht="14.25">
      <c r="A3" s="166" t="s">
        <v>2</v>
      </c>
      <c r="B3" s="166"/>
      <c r="U3" s="569"/>
      <c r="AA3" s="569"/>
      <c r="AD3" s="569"/>
    </row>
    <row r="4" spans="1:17" ht="14.25">
      <c r="A4" s="166" t="s">
        <v>173</v>
      </c>
      <c r="B4" s="166"/>
      <c r="Q4" s="435"/>
    </row>
    <row r="5" spans="1:2" ht="12.75">
      <c r="A5" s="69" t="s">
        <v>273</v>
      </c>
      <c r="B5" s="69"/>
    </row>
    <row r="6" ht="9.75" customHeight="1"/>
    <row r="7" spans="5:32" s="245" customFormat="1" ht="9.75" customHeight="1">
      <c r="E7" s="246"/>
      <c r="F7" s="246"/>
      <c r="G7" s="102" t="s">
        <v>44</v>
      </c>
      <c r="I7" s="576" t="s">
        <v>175</v>
      </c>
      <c r="K7" s="41" t="s">
        <v>203</v>
      </c>
      <c r="L7" s="42" t="s">
        <v>204</v>
      </c>
      <c r="M7" s="645" t="s">
        <v>44</v>
      </c>
      <c r="N7" s="607"/>
      <c r="O7" s="670" t="s">
        <v>289</v>
      </c>
      <c r="P7" s="671"/>
      <c r="Q7" s="675" t="s">
        <v>278</v>
      </c>
      <c r="R7" s="676"/>
      <c r="S7" s="675" t="s">
        <v>51</v>
      </c>
      <c r="T7" s="676"/>
      <c r="U7" s="670" t="s">
        <v>178</v>
      </c>
      <c r="V7" s="671"/>
      <c r="W7" s="670" t="s">
        <v>68</v>
      </c>
      <c r="X7" s="671"/>
      <c r="Y7" s="670" t="s">
        <v>65</v>
      </c>
      <c r="Z7" s="671"/>
      <c r="AA7" s="675" t="s">
        <v>139</v>
      </c>
      <c r="AB7" s="676"/>
      <c r="AC7" s="675" t="s">
        <v>208</v>
      </c>
      <c r="AD7" s="676"/>
      <c r="AE7" s="568" t="s">
        <v>7</v>
      </c>
      <c r="AF7" s="568"/>
    </row>
    <row r="8" spans="3:31" ht="9.75" customHeight="1">
      <c r="C8" s="568" t="s">
        <v>180</v>
      </c>
      <c r="D8" s="568" t="s">
        <v>181</v>
      </c>
      <c r="E8" s="51" t="s">
        <v>182</v>
      </c>
      <c r="F8" s="41" t="s">
        <v>183</v>
      </c>
      <c r="G8" s="102" t="s">
        <v>176</v>
      </c>
      <c r="H8" s="568" t="s">
        <v>212</v>
      </c>
      <c r="I8" s="576" t="s">
        <v>184</v>
      </c>
      <c r="J8" s="568" t="s">
        <v>185</v>
      </c>
      <c r="K8" s="41" t="s">
        <v>204</v>
      </c>
      <c r="L8" s="42" t="s">
        <v>199</v>
      </c>
      <c r="M8" s="575" t="s">
        <v>187</v>
      </c>
      <c r="N8" s="569" t="s">
        <v>238</v>
      </c>
      <c r="O8" s="565" t="s">
        <v>187</v>
      </c>
      <c r="P8" s="571" t="s">
        <v>238</v>
      </c>
      <c r="Q8" s="570" t="s">
        <v>187</v>
      </c>
      <c r="R8" s="571" t="s">
        <v>238</v>
      </c>
      <c r="S8" s="570" t="s">
        <v>187</v>
      </c>
      <c r="T8" s="571" t="s">
        <v>238</v>
      </c>
      <c r="U8" s="570" t="s">
        <v>187</v>
      </c>
      <c r="V8" s="571" t="s">
        <v>238</v>
      </c>
      <c r="W8" s="570" t="s">
        <v>187</v>
      </c>
      <c r="X8" s="571" t="s">
        <v>238</v>
      </c>
      <c r="Y8" s="570" t="s">
        <v>187</v>
      </c>
      <c r="Z8" s="571" t="s">
        <v>238</v>
      </c>
      <c r="AA8" s="570" t="s">
        <v>187</v>
      </c>
      <c r="AB8" s="571" t="s">
        <v>238</v>
      </c>
      <c r="AC8" s="570" t="s">
        <v>187</v>
      </c>
      <c r="AD8" s="571" t="s">
        <v>238</v>
      </c>
      <c r="AE8" s="568" t="s">
        <v>186</v>
      </c>
    </row>
    <row r="9" spans="3:31" ht="9.75" customHeight="1" thickBot="1">
      <c r="C9" s="78" t="s">
        <v>258</v>
      </c>
      <c r="D9" s="78" t="s">
        <v>242</v>
      </c>
      <c r="E9" s="79" t="s">
        <v>202</v>
      </c>
      <c r="F9" s="80" t="s">
        <v>191</v>
      </c>
      <c r="G9" s="111" t="s">
        <v>191</v>
      </c>
      <c r="H9" s="78" t="s">
        <v>192</v>
      </c>
      <c r="I9" s="82" t="s">
        <v>33</v>
      </c>
      <c r="J9" s="78" t="s">
        <v>194</v>
      </c>
      <c r="K9" s="80" t="s">
        <v>191</v>
      </c>
      <c r="L9" s="85" t="s">
        <v>191</v>
      </c>
      <c r="M9" s="397"/>
      <c r="N9" s="150" t="s">
        <v>191</v>
      </c>
      <c r="O9" s="379"/>
      <c r="P9" s="86" t="s">
        <v>191</v>
      </c>
      <c r="Q9" s="149"/>
      <c r="R9" s="86" t="s">
        <v>191</v>
      </c>
      <c r="S9" s="149"/>
      <c r="T9" s="86" t="s">
        <v>191</v>
      </c>
      <c r="U9" s="149"/>
      <c r="V9" s="86" t="s">
        <v>191</v>
      </c>
      <c r="W9" s="383"/>
      <c r="X9" s="86" t="s">
        <v>191</v>
      </c>
      <c r="Y9" s="149"/>
      <c r="Z9" s="86" t="s">
        <v>191</v>
      </c>
      <c r="AA9" s="383"/>
      <c r="AB9" s="86" t="s">
        <v>191</v>
      </c>
      <c r="AC9" s="383"/>
      <c r="AD9" s="86" t="s">
        <v>191</v>
      </c>
      <c r="AE9" s="344"/>
    </row>
    <row r="10" spans="1:31" ht="9.75" customHeight="1" thickTop="1">
      <c r="A10" s="112" t="s">
        <v>281</v>
      </c>
      <c r="B10" s="112" t="s">
        <v>279</v>
      </c>
      <c r="C10" s="122">
        <v>10</v>
      </c>
      <c r="D10" s="122">
        <v>400</v>
      </c>
      <c r="E10" s="126">
        <v>0.0028</v>
      </c>
      <c r="F10" s="116">
        <f aca="true" t="shared" si="0" ref="F10:F19">(1.486/0.013)*((3.14*($C10*$C10)/4)/144)*SQRT($E10)*POWER($C10/12/4,2/3)</f>
        <v>1.1587795241143175</v>
      </c>
      <c r="G10" s="129">
        <v>0.78</v>
      </c>
      <c r="H10" s="122">
        <v>1994</v>
      </c>
      <c r="I10" s="131">
        <v>568</v>
      </c>
      <c r="J10" s="115">
        <f aca="true" t="shared" si="1" ref="J10:J61">(18+SQRT(I10/1000))/(4+SQRT(I10/1000))</f>
        <v>3.945100540332206</v>
      </c>
      <c r="K10" s="116">
        <f>I10:I10*100*J10/(7.48*24*60*60)</f>
        <v>0.3467297216819997</v>
      </c>
      <c r="L10" s="139">
        <f>G10</f>
        <v>0.78</v>
      </c>
      <c r="M10" s="143">
        <v>495</v>
      </c>
      <c r="N10" s="146">
        <f aca="true" t="shared" si="2" ref="N10:N61">J10*100*M10/(7.48*24*60*60)</f>
        <v>0.3021676271700526</v>
      </c>
      <c r="O10" s="151"/>
      <c r="P10" s="152">
        <v>0</v>
      </c>
      <c r="Q10" s="151"/>
      <c r="R10" s="152">
        <v>0</v>
      </c>
      <c r="S10" s="151">
        <v>73</v>
      </c>
      <c r="T10" s="158">
        <f>J10*100*S10/(7.48*24*60*60)</f>
        <v>0.04456209451194714</v>
      </c>
      <c r="U10" s="151"/>
      <c r="V10" s="161">
        <v>0</v>
      </c>
      <c r="W10" s="162"/>
      <c r="X10" s="161">
        <v>0</v>
      </c>
      <c r="Y10" s="151"/>
      <c r="Z10" s="152">
        <v>0</v>
      </c>
      <c r="AA10" s="399"/>
      <c r="AB10" s="152">
        <v>0</v>
      </c>
      <c r="AC10" s="240"/>
      <c r="AD10" s="152">
        <v>0</v>
      </c>
      <c r="AE10" s="131">
        <f>M10+O10+Q10+S10+U10+W10+Y10+AA10:AA11+AC10</f>
        <v>568</v>
      </c>
    </row>
    <row r="11" spans="1:31" ht="9.75" customHeight="1">
      <c r="A11" s="341"/>
      <c r="B11" s="341"/>
      <c r="C11" s="120">
        <v>10</v>
      </c>
      <c r="D11" s="120">
        <v>400</v>
      </c>
      <c r="E11" s="121">
        <v>0.0028</v>
      </c>
      <c r="F11" s="54">
        <f t="shared" si="0"/>
        <v>1.1587795241143175</v>
      </c>
      <c r="G11" s="117">
        <v>0.78</v>
      </c>
      <c r="H11" s="120">
        <v>1994</v>
      </c>
      <c r="I11" s="118">
        <v>568</v>
      </c>
      <c r="J11" s="98">
        <f t="shared" si="1"/>
        <v>3.945100540332206</v>
      </c>
      <c r="K11" s="54">
        <f>I11:I11*100*J11/(7.48*24*60*60)</f>
        <v>0.3467297216819997</v>
      </c>
      <c r="L11" s="140">
        <f aca="true" t="shared" si="3" ref="L11:L20">G11</f>
        <v>0.78</v>
      </c>
      <c r="M11" s="144">
        <v>495</v>
      </c>
      <c r="N11" s="147">
        <f t="shared" si="2"/>
        <v>0.3021676271700526</v>
      </c>
      <c r="O11" s="153"/>
      <c r="P11" s="152">
        <v>0</v>
      </c>
      <c r="Q11" s="156"/>
      <c r="R11" s="152">
        <v>0</v>
      </c>
      <c r="S11" s="153">
        <v>73</v>
      </c>
      <c r="T11" s="159">
        <f aca="true" t="shared" si="4" ref="T11:T20">J11*100*S11/(7.48*24*60*60)</f>
        <v>0.04456209451194714</v>
      </c>
      <c r="U11" s="153"/>
      <c r="V11" s="152">
        <v>0</v>
      </c>
      <c r="W11" s="156"/>
      <c r="X11" s="152">
        <v>0</v>
      </c>
      <c r="Y11" s="156"/>
      <c r="Z11" s="152">
        <v>0</v>
      </c>
      <c r="AA11" s="399"/>
      <c r="AB11" s="152">
        <v>0</v>
      </c>
      <c r="AC11" s="240"/>
      <c r="AD11" s="152">
        <v>0</v>
      </c>
      <c r="AE11" s="118">
        <f aca="true" t="shared" si="5" ref="AE11:AE20">M11+O11+Q11+S11+U11+W11+Y11+AA11:AA12+AC11</f>
        <v>568</v>
      </c>
    </row>
    <row r="12" spans="1:31" ht="9.75" customHeight="1">
      <c r="A12" s="341"/>
      <c r="B12" s="341"/>
      <c r="C12" s="120">
        <v>10</v>
      </c>
      <c r="D12" s="120">
        <v>400</v>
      </c>
      <c r="E12" s="121">
        <v>0.0028</v>
      </c>
      <c r="F12" s="54">
        <f t="shared" si="0"/>
        <v>1.1587795241143175</v>
      </c>
      <c r="G12" s="117">
        <v>0.78</v>
      </c>
      <c r="H12" s="120">
        <v>1994</v>
      </c>
      <c r="I12" s="118">
        <v>568</v>
      </c>
      <c r="J12" s="98">
        <f t="shared" si="1"/>
        <v>3.945100540332206</v>
      </c>
      <c r="K12" s="54">
        <f aca="true" t="shared" si="6" ref="K12:K61">I12:I12*100*J12/(7.48*24*60*60)</f>
        <v>0.3467297216819997</v>
      </c>
      <c r="L12" s="140">
        <f t="shared" si="3"/>
        <v>0.78</v>
      </c>
      <c r="M12" s="144">
        <v>495</v>
      </c>
      <c r="N12" s="147">
        <f t="shared" si="2"/>
        <v>0.3021676271700526</v>
      </c>
      <c r="O12" s="153"/>
      <c r="P12" s="152">
        <v>0</v>
      </c>
      <c r="Q12" s="153"/>
      <c r="R12" s="152">
        <v>0</v>
      </c>
      <c r="S12" s="153">
        <v>73</v>
      </c>
      <c r="T12" s="159">
        <f t="shared" si="4"/>
        <v>0.04456209451194714</v>
      </c>
      <c r="U12" s="153"/>
      <c r="V12" s="152">
        <v>0</v>
      </c>
      <c r="W12" s="156"/>
      <c r="X12" s="152">
        <v>0</v>
      </c>
      <c r="Y12" s="156"/>
      <c r="Z12" s="152">
        <v>0</v>
      </c>
      <c r="AA12" s="399"/>
      <c r="AB12" s="152">
        <v>0</v>
      </c>
      <c r="AC12" s="240"/>
      <c r="AD12" s="152">
        <v>0</v>
      </c>
      <c r="AE12" s="118">
        <f t="shared" si="5"/>
        <v>568</v>
      </c>
    </row>
    <row r="13" spans="1:31" ht="9.75" customHeight="1">
      <c r="A13" s="341"/>
      <c r="B13" s="341"/>
      <c r="C13" s="123">
        <v>10</v>
      </c>
      <c r="D13" s="120">
        <v>400</v>
      </c>
      <c r="E13" s="121">
        <v>0.0028</v>
      </c>
      <c r="F13" s="54">
        <f t="shared" si="0"/>
        <v>1.1587795241143175</v>
      </c>
      <c r="G13" s="117">
        <v>0.78</v>
      </c>
      <c r="H13" s="120">
        <v>1994</v>
      </c>
      <c r="I13" s="118">
        <v>568</v>
      </c>
      <c r="J13" s="98">
        <f t="shared" si="1"/>
        <v>3.945100540332206</v>
      </c>
      <c r="K13" s="54">
        <f t="shared" si="6"/>
        <v>0.3467297216819997</v>
      </c>
      <c r="L13" s="140">
        <f t="shared" si="3"/>
        <v>0.78</v>
      </c>
      <c r="M13" s="144">
        <v>495</v>
      </c>
      <c r="N13" s="147">
        <f t="shared" si="2"/>
        <v>0.3021676271700526</v>
      </c>
      <c r="O13" s="153"/>
      <c r="P13" s="152">
        <v>0</v>
      </c>
      <c r="Q13" s="153"/>
      <c r="R13" s="152">
        <v>0</v>
      </c>
      <c r="S13" s="153">
        <v>73</v>
      </c>
      <c r="T13" s="159">
        <f t="shared" si="4"/>
        <v>0.04456209451194714</v>
      </c>
      <c r="U13" s="153"/>
      <c r="V13" s="152">
        <v>0</v>
      </c>
      <c r="W13" s="156"/>
      <c r="X13" s="152">
        <v>0</v>
      </c>
      <c r="Y13" s="156"/>
      <c r="Z13" s="152">
        <v>0</v>
      </c>
      <c r="AA13" s="399"/>
      <c r="AB13" s="152">
        <v>0</v>
      </c>
      <c r="AC13" s="240"/>
      <c r="AD13" s="152">
        <v>0</v>
      </c>
      <c r="AE13" s="118">
        <f t="shared" si="5"/>
        <v>568</v>
      </c>
    </row>
    <row r="14" spans="1:31" ht="9.75" customHeight="1">
      <c r="A14" s="341"/>
      <c r="B14" s="341"/>
      <c r="C14" s="123">
        <v>10</v>
      </c>
      <c r="D14" s="120">
        <v>357</v>
      </c>
      <c r="E14" s="121">
        <v>0.0028</v>
      </c>
      <c r="F14" s="54">
        <f t="shared" si="0"/>
        <v>1.1587795241143175</v>
      </c>
      <c r="G14" s="117">
        <v>0.78</v>
      </c>
      <c r="H14" s="120">
        <v>1994</v>
      </c>
      <c r="I14" s="118">
        <f>I$19</f>
        <v>737</v>
      </c>
      <c r="J14" s="98">
        <f t="shared" si="1"/>
        <v>3.8815554885967725</v>
      </c>
      <c r="K14" s="54">
        <f t="shared" si="6"/>
        <v>0.4426474294253536</v>
      </c>
      <c r="L14" s="117">
        <f t="shared" si="3"/>
        <v>0.78</v>
      </c>
      <c r="M14" s="405">
        <f>M$19</f>
        <v>664</v>
      </c>
      <c r="N14" s="147">
        <f t="shared" si="2"/>
        <v>0.39880311144970804</v>
      </c>
      <c r="O14" s="153"/>
      <c r="P14" s="234">
        <v>0</v>
      </c>
      <c r="Q14" s="405"/>
      <c r="R14" s="152">
        <v>0</v>
      </c>
      <c r="S14" s="153">
        <v>73</v>
      </c>
      <c r="T14" s="159">
        <f t="shared" si="4"/>
        <v>0.04384431797564561</v>
      </c>
      <c r="U14" s="153"/>
      <c r="V14" s="152">
        <v>0</v>
      </c>
      <c r="W14" s="156"/>
      <c r="X14" s="152">
        <v>0</v>
      </c>
      <c r="Y14" s="153"/>
      <c r="Z14" s="152">
        <v>0</v>
      </c>
      <c r="AA14" s="399"/>
      <c r="AB14" s="152">
        <v>0</v>
      </c>
      <c r="AC14" s="240"/>
      <c r="AD14" s="152">
        <v>0</v>
      </c>
      <c r="AE14" s="118">
        <f t="shared" si="5"/>
        <v>737</v>
      </c>
    </row>
    <row r="15" spans="1:31" ht="9.75" customHeight="1">
      <c r="A15" s="341"/>
      <c r="B15" s="341"/>
      <c r="C15" s="120">
        <v>10</v>
      </c>
      <c r="D15" s="120">
        <v>368</v>
      </c>
      <c r="E15" s="121">
        <v>0.0028</v>
      </c>
      <c r="F15" s="54">
        <f t="shared" si="0"/>
        <v>1.1587795241143175</v>
      </c>
      <c r="G15" s="117">
        <v>0.92</v>
      </c>
      <c r="H15" s="120">
        <v>1994</v>
      </c>
      <c r="I15" s="118">
        <f>I$19</f>
        <v>737</v>
      </c>
      <c r="J15" s="98">
        <f t="shared" si="1"/>
        <v>3.8815554885967725</v>
      </c>
      <c r="K15" s="54">
        <f t="shared" si="6"/>
        <v>0.4426474294253536</v>
      </c>
      <c r="L15" s="117">
        <f t="shared" si="3"/>
        <v>0.92</v>
      </c>
      <c r="M15" s="405">
        <f>M$19</f>
        <v>664</v>
      </c>
      <c r="N15" s="147">
        <f t="shared" si="2"/>
        <v>0.39880311144970804</v>
      </c>
      <c r="O15" s="153"/>
      <c r="P15" s="234">
        <v>0</v>
      </c>
      <c r="Q15" s="405"/>
      <c r="R15" s="152">
        <v>0</v>
      </c>
      <c r="S15" s="153">
        <v>73</v>
      </c>
      <c r="T15" s="159">
        <f t="shared" si="4"/>
        <v>0.04384431797564561</v>
      </c>
      <c r="U15" s="153"/>
      <c r="V15" s="152">
        <v>0</v>
      </c>
      <c r="W15" s="156"/>
      <c r="X15" s="152">
        <v>0</v>
      </c>
      <c r="Y15" s="153"/>
      <c r="Z15" s="152">
        <v>0</v>
      </c>
      <c r="AA15" s="399"/>
      <c r="AB15" s="152">
        <v>0</v>
      </c>
      <c r="AC15" s="240"/>
      <c r="AD15" s="152">
        <v>0</v>
      </c>
      <c r="AE15" s="118">
        <f t="shared" si="5"/>
        <v>737</v>
      </c>
    </row>
    <row r="16" spans="1:31" ht="9.75" customHeight="1">
      <c r="A16" s="341"/>
      <c r="B16" s="341"/>
      <c r="C16" s="120">
        <v>10</v>
      </c>
      <c r="D16" s="120">
        <v>339</v>
      </c>
      <c r="E16" s="121">
        <v>0.0028</v>
      </c>
      <c r="F16" s="54">
        <f t="shared" si="0"/>
        <v>1.1587795241143175</v>
      </c>
      <c r="G16" s="117">
        <v>0.92</v>
      </c>
      <c r="H16" s="120">
        <v>1994</v>
      </c>
      <c r="I16" s="118">
        <f>I$19</f>
        <v>737</v>
      </c>
      <c r="J16" s="98">
        <f t="shared" si="1"/>
        <v>3.8815554885967725</v>
      </c>
      <c r="K16" s="54">
        <f t="shared" si="6"/>
        <v>0.4426474294253536</v>
      </c>
      <c r="L16" s="117">
        <f t="shared" si="3"/>
        <v>0.92</v>
      </c>
      <c r="M16" s="405">
        <f>M$19</f>
        <v>664</v>
      </c>
      <c r="N16" s="147">
        <f t="shared" si="2"/>
        <v>0.39880311144970804</v>
      </c>
      <c r="O16" s="153"/>
      <c r="P16" s="234">
        <v>0</v>
      </c>
      <c r="Q16" s="405"/>
      <c r="R16" s="152">
        <v>0</v>
      </c>
      <c r="S16" s="153">
        <v>73</v>
      </c>
      <c r="T16" s="159">
        <f t="shared" si="4"/>
        <v>0.04384431797564561</v>
      </c>
      <c r="U16" s="153"/>
      <c r="V16" s="152">
        <v>0</v>
      </c>
      <c r="W16" s="156"/>
      <c r="X16" s="152">
        <v>0</v>
      </c>
      <c r="Y16" s="153"/>
      <c r="Z16" s="152">
        <v>0</v>
      </c>
      <c r="AA16" s="399"/>
      <c r="AB16" s="152">
        <v>0</v>
      </c>
      <c r="AC16" s="240"/>
      <c r="AD16" s="152">
        <v>0</v>
      </c>
      <c r="AE16" s="118">
        <f t="shared" si="5"/>
        <v>737</v>
      </c>
    </row>
    <row r="17" spans="1:31" ht="9.75" customHeight="1">
      <c r="A17" s="341"/>
      <c r="B17" s="341"/>
      <c r="C17" s="120">
        <v>10</v>
      </c>
      <c r="D17" s="120">
        <v>55</v>
      </c>
      <c r="E17" s="121">
        <v>0.0028</v>
      </c>
      <c r="F17" s="54">
        <f t="shared" si="0"/>
        <v>1.1587795241143175</v>
      </c>
      <c r="G17" s="117">
        <v>0.92</v>
      </c>
      <c r="H17" s="120">
        <v>1994</v>
      </c>
      <c r="I17" s="118">
        <f>I$19</f>
        <v>737</v>
      </c>
      <c r="J17" s="98">
        <f t="shared" si="1"/>
        <v>3.8815554885967725</v>
      </c>
      <c r="K17" s="54">
        <f t="shared" si="6"/>
        <v>0.4426474294253536</v>
      </c>
      <c r="L17" s="117">
        <f t="shared" si="3"/>
        <v>0.92</v>
      </c>
      <c r="M17" s="405">
        <f>M$19</f>
        <v>664</v>
      </c>
      <c r="N17" s="147">
        <f t="shared" si="2"/>
        <v>0.39880311144970804</v>
      </c>
      <c r="O17" s="153"/>
      <c r="P17" s="234">
        <v>0</v>
      </c>
      <c r="Q17" s="405"/>
      <c r="R17" s="152">
        <v>0</v>
      </c>
      <c r="S17" s="153">
        <v>73</v>
      </c>
      <c r="T17" s="159">
        <f t="shared" si="4"/>
        <v>0.04384431797564561</v>
      </c>
      <c r="U17" s="153"/>
      <c r="V17" s="152">
        <v>0</v>
      </c>
      <c r="W17" s="153"/>
      <c r="X17" s="152">
        <v>0</v>
      </c>
      <c r="Y17" s="156"/>
      <c r="Z17" s="152">
        <v>0</v>
      </c>
      <c r="AA17" s="399"/>
      <c r="AB17" s="152">
        <v>0</v>
      </c>
      <c r="AC17" s="240"/>
      <c r="AD17" s="152">
        <v>0</v>
      </c>
      <c r="AE17" s="118">
        <f t="shared" si="5"/>
        <v>737</v>
      </c>
    </row>
    <row r="18" spans="1:31" ht="9.75" customHeight="1">
      <c r="A18" s="96" t="s">
        <v>281</v>
      </c>
      <c r="B18" s="96" t="s">
        <v>280</v>
      </c>
      <c r="C18" s="120">
        <v>10</v>
      </c>
      <c r="D18" s="120">
        <v>164</v>
      </c>
      <c r="E18" s="121">
        <v>0.0154</v>
      </c>
      <c r="F18" s="50">
        <f t="shared" si="0"/>
        <v>2.7175788710332447</v>
      </c>
      <c r="G18" s="117">
        <v>0.93</v>
      </c>
      <c r="H18" s="120">
        <v>1994</v>
      </c>
      <c r="I18" s="118">
        <f>I$19</f>
        <v>737</v>
      </c>
      <c r="J18" s="98">
        <f t="shared" si="1"/>
        <v>3.8815554885967725</v>
      </c>
      <c r="K18" s="54">
        <f t="shared" si="6"/>
        <v>0.4426474294253536</v>
      </c>
      <c r="L18" s="117">
        <f t="shared" si="3"/>
        <v>0.93</v>
      </c>
      <c r="M18" s="405">
        <f>M$19</f>
        <v>664</v>
      </c>
      <c r="N18" s="147">
        <f t="shared" si="2"/>
        <v>0.39880311144970804</v>
      </c>
      <c r="O18" s="153"/>
      <c r="P18" s="234">
        <v>0</v>
      </c>
      <c r="Q18" s="405"/>
      <c r="R18" s="152">
        <v>0</v>
      </c>
      <c r="S18" s="153">
        <v>73</v>
      </c>
      <c r="T18" s="159">
        <f t="shared" si="4"/>
        <v>0.04384431797564561</v>
      </c>
      <c r="U18" s="153"/>
      <c r="V18" s="152">
        <v>0</v>
      </c>
      <c r="W18" s="156"/>
      <c r="X18" s="152">
        <v>0</v>
      </c>
      <c r="Y18" s="156"/>
      <c r="Z18" s="152">
        <v>0</v>
      </c>
      <c r="AA18" s="399"/>
      <c r="AB18" s="152">
        <v>0</v>
      </c>
      <c r="AC18" s="240"/>
      <c r="AD18" s="152">
        <v>0</v>
      </c>
      <c r="AE18" s="118">
        <f t="shared" si="5"/>
        <v>737</v>
      </c>
    </row>
    <row r="19" spans="1:31" ht="9.75" customHeight="1">
      <c r="A19" s="341"/>
      <c r="B19" s="341"/>
      <c r="C19" s="120">
        <v>10</v>
      </c>
      <c r="D19" s="120">
        <v>182</v>
      </c>
      <c r="E19" s="121">
        <v>0.0154</v>
      </c>
      <c r="F19" s="50">
        <f t="shared" si="0"/>
        <v>2.7175788710332447</v>
      </c>
      <c r="G19" s="117">
        <v>0.93</v>
      </c>
      <c r="H19" s="120">
        <v>1994</v>
      </c>
      <c r="I19" s="118">
        <v>737</v>
      </c>
      <c r="J19" s="98">
        <f t="shared" si="1"/>
        <v>3.8815554885967725</v>
      </c>
      <c r="K19" s="54">
        <f t="shared" si="6"/>
        <v>0.4426474294253536</v>
      </c>
      <c r="L19" s="140">
        <f t="shared" si="3"/>
        <v>0.93</v>
      </c>
      <c r="M19" s="144">
        <v>664</v>
      </c>
      <c r="N19" s="147">
        <f t="shared" si="2"/>
        <v>0.39880311144970804</v>
      </c>
      <c r="O19" s="153"/>
      <c r="P19" s="152">
        <v>0</v>
      </c>
      <c r="Q19" s="153"/>
      <c r="R19" s="152">
        <v>0</v>
      </c>
      <c r="S19" s="153">
        <v>73</v>
      </c>
      <c r="T19" s="159">
        <f t="shared" si="4"/>
        <v>0.04384431797564561</v>
      </c>
      <c r="U19" s="153"/>
      <c r="V19" s="152">
        <v>0</v>
      </c>
      <c r="W19" s="156"/>
      <c r="X19" s="152">
        <v>0</v>
      </c>
      <c r="Y19" s="156"/>
      <c r="Z19" s="152">
        <v>0</v>
      </c>
      <c r="AA19" s="399"/>
      <c r="AB19" s="152">
        <v>0</v>
      </c>
      <c r="AC19" s="240"/>
      <c r="AD19" s="152">
        <v>0</v>
      </c>
      <c r="AE19" s="118">
        <f t="shared" si="5"/>
        <v>737</v>
      </c>
    </row>
    <row r="20" spans="1:31" ht="9.75" customHeight="1">
      <c r="A20" s="341"/>
      <c r="B20" s="341"/>
      <c r="C20" s="120">
        <v>10</v>
      </c>
      <c r="D20" s="120">
        <v>356</v>
      </c>
      <c r="E20" s="121">
        <v>0.0154</v>
      </c>
      <c r="F20" s="50"/>
      <c r="G20" s="117">
        <v>0.93</v>
      </c>
      <c r="H20" s="120">
        <v>1994</v>
      </c>
      <c r="I20" s="118">
        <v>737</v>
      </c>
      <c r="J20" s="98">
        <f t="shared" si="1"/>
        <v>3.8815554885967725</v>
      </c>
      <c r="K20" s="54">
        <f t="shared" si="6"/>
        <v>0.4426474294253536</v>
      </c>
      <c r="L20" s="140">
        <f t="shared" si="3"/>
        <v>0.93</v>
      </c>
      <c r="M20" s="144">
        <v>664</v>
      </c>
      <c r="N20" s="147">
        <f t="shared" si="2"/>
        <v>0.39880311144970804</v>
      </c>
      <c r="O20" s="153"/>
      <c r="P20" s="152">
        <v>0</v>
      </c>
      <c r="Q20" s="153"/>
      <c r="R20" s="152">
        <v>0</v>
      </c>
      <c r="S20" s="153">
        <v>73</v>
      </c>
      <c r="T20" s="159">
        <f t="shared" si="4"/>
        <v>0.04384431797564561</v>
      </c>
      <c r="U20" s="153"/>
      <c r="V20" s="152">
        <v>0</v>
      </c>
      <c r="W20" s="156"/>
      <c r="X20" s="152">
        <v>0</v>
      </c>
      <c r="Y20" s="156"/>
      <c r="Z20" s="152">
        <v>0</v>
      </c>
      <c r="AA20" s="399"/>
      <c r="AB20" s="152">
        <v>0</v>
      </c>
      <c r="AC20" s="240"/>
      <c r="AD20" s="152">
        <v>0</v>
      </c>
      <c r="AE20" s="118">
        <f t="shared" si="5"/>
        <v>737</v>
      </c>
    </row>
    <row r="21" spans="1:31" ht="9.75" customHeight="1">
      <c r="A21" s="341"/>
      <c r="B21" s="341"/>
      <c r="C21" s="120"/>
      <c r="D21" s="120"/>
      <c r="E21" s="121"/>
      <c r="F21" s="50"/>
      <c r="G21" s="117"/>
      <c r="H21" s="120"/>
      <c r="I21" s="118"/>
      <c r="J21" s="98"/>
      <c r="K21" s="54"/>
      <c r="L21" s="119"/>
      <c r="M21" s="144"/>
      <c r="N21" s="147"/>
      <c r="O21" s="153"/>
      <c r="P21" s="152"/>
      <c r="Q21" s="153"/>
      <c r="R21" s="152"/>
      <c r="S21" s="153"/>
      <c r="T21" s="159"/>
      <c r="U21" s="153"/>
      <c r="V21" s="152"/>
      <c r="W21" s="156"/>
      <c r="X21" s="152"/>
      <c r="Y21" s="156"/>
      <c r="Z21" s="152"/>
      <c r="AA21" s="399"/>
      <c r="AB21" s="152"/>
      <c r="AC21" s="240"/>
      <c r="AD21" s="152"/>
      <c r="AE21" s="120"/>
    </row>
    <row r="22" spans="1:31" ht="9.75" customHeight="1">
      <c r="A22" s="341"/>
      <c r="B22" s="341"/>
      <c r="C22" s="120">
        <v>10</v>
      </c>
      <c r="D22" s="120">
        <v>357</v>
      </c>
      <c r="E22" s="121">
        <v>0.0154</v>
      </c>
      <c r="F22" s="50">
        <f aca="true" t="shared" si="7" ref="F22:F30">(1.486/0.013)*((3.14*($C22*$C22)/4)/144)*SQRT($E22)*POWER($C22/12/4,2/3)</f>
        <v>2.7175788710332447</v>
      </c>
      <c r="G22" s="117">
        <v>0.93</v>
      </c>
      <c r="H22" s="120">
        <v>1994</v>
      </c>
      <c r="I22" s="118">
        <v>737</v>
      </c>
      <c r="J22" s="98">
        <f t="shared" si="1"/>
        <v>3.8815554885967725</v>
      </c>
      <c r="K22" s="54">
        <f t="shared" si="6"/>
        <v>0.4426474294253536</v>
      </c>
      <c r="L22" s="140">
        <f aca="true" t="shared" si="8" ref="L22:L30">G22</f>
        <v>0.93</v>
      </c>
      <c r="M22" s="144">
        <f aca="true" t="shared" si="9" ref="M22:M27">M$28</f>
        <v>2064</v>
      </c>
      <c r="N22" s="147">
        <f t="shared" si="2"/>
        <v>1.239653045229213</v>
      </c>
      <c r="O22" s="153"/>
      <c r="P22" s="152">
        <v>0</v>
      </c>
      <c r="Q22" s="153"/>
      <c r="R22" s="152">
        <v>0</v>
      </c>
      <c r="S22" s="153">
        <v>73</v>
      </c>
      <c r="T22" s="159">
        <f aca="true" t="shared" si="10" ref="T22:T61">J22*100*S22/(7.48*24*60*60)</f>
        <v>0.04384431797564561</v>
      </c>
      <c r="U22" s="153"/>
      <c r="V22" s="152">
        <v>0</v>
      </c>
      <c r="W22" s="156"/>
      <c r="X22" s="152">
        <v>0</v>
      </c>
      <c r="Y22" s="156"/>
      <c r="Z22" s="152">
        <v>0</v>
      </c>
      <c r="AA22" s="399"/>
      <c r="AB22" s="152">
        <v>0</v>
      </c>
      <c r="AC22" s="240"/>
      <c r="AD22" s="152">
        <v>0</v>
      </c>
      <c r="AE22" s="118">
        <f aca="true" t="shared" si="11" ref="AE22:AE30">M22+O22+Q22+S22+U22+W22+Y22+AA22:AA23+AC22</f>
        <v>2137</v>
      </c>
    </row>
    <row r="23" spans="1:31" ht="9.75" customHeight="1">
      <c r="A23" s="96" t="s">
        <v>260</v>
      </c>
      <c r="B23" s="96" t="s">
        <v>281</v>
      </c>
      <c r="C23" s="120">
        <v>10</v>
      </c>
      <c r="D23" s="120">
        <v>344</v>
      </c>
      <c r="E23" s="121">
        <v>0.0028</v>
      </c>
      <c r="F23" s="54">
        <f t="shared" si="7"/>
        <v>1.1587795241143175</v>
      </c>
      <c r="G23" s="117">
        <v>0.98</v>
      </c>
      <c r="H23" s="120">
        <v>1994</v>
      </c>
      <c r="I23" s="118">
        <v>2137</v>
      </c>
      <c r="J23" s="98">
        <f t="shared" si="1"/>
        <v>3.5632349394361102</v>
      </c>
      <c r="K23" s="54">
        <f t="shared" si="6"/>
        <v>1.1782396677521179</v>
      </c>
      <c r="L23" s="140">
        <f t="shared" si="8"/>
        <v>0.98</v>
      </c>
      <c r="M23" s="144">
        <f t="shared" si="9"/>
        <v>2064</v>
      </c>
      <c r="N23" s="147">
        <f t="shared" si="2"/>
        <v>1.137990956593529</v>
      </c>
      <c r="O23" s="240"/>
      <c r="P23" s="152">
        <v>0</v>
      </c>
      <c r="Q23" s="153"/>
      <c r="R23" s="152">
        <v>0</v>
      </c>
      <c r="S23" s="153">
        <v>73</v>
      </c>
      <c r="T23" s="159">
        <f t="shared" si="10"/>
        <v>0.04024871115858896</v>
      </c>
      <c r="U23" s="153"/>
      <c r="V23" s="152">
        <v>0</v>
      </c>
      <c r="W23" s="153"/>
      <c r="X23" s="152">
        <v>0</v>
      </c>
      <c r="Y23" s="156"/>
      <c r="Z23" s="152">
        <v>0</v>
      </c>
      <c r="AA23" s="399"/>
      <c r="AB23" s="152">
        <v>0</v>
      </c>
      <c r="AC23" s="240"/>
      <c r="AD23" s="152">
        <v>0</v>
      </c>
      <c r="AE23" s="118">
        <f t="shared" si="11"/>
        <v>2137</v>
      </c>
    </row>
    <row r="24" spans="1:31" ht="9.75" customHeight="1">
      <c r="A24" s="341"/>
      <c r="B24" s="341"/>
      <c r="C24" s="120">
        <v>10</v>
      </c>
      <c r="D24" s="120">
        <v>316</v>
      </c>
      <c r="E24" s="121">
        <v>0.0028</v>
      </c>
      <c r="F24" s="54">
        <f t="shared" si="7"/>
        <v>1.1587795241143175</v>
      </c>
      <c r="G24" s="117">
        <v>0.98</v>
      </c>
      <c r="H24" s="120">
        <v>1994</v>
      </c>
      <c r="I24" s="118">
        <f>I$28</f>
        <v>2137</v>
      </c>
      <c r="J24" s="98">
        <f t="shared" si="1"/>
        <v>3.5632349394361102</v>
      </c>
      <c r="K24" s="54">
        <f t="shared" si="6"/>
        <v>1.1782396677521179</v>
      </c>
      <c r="L24" s="140">
        <f t="shared" si="8"/>
        <v>0.98</v>
      </c>
      <c r="M24" s="144">
        <f t="shared" si="9"/>
        <v>2064</v>
      </c>
      <c r="N24" s="147">
        <f t="shared" si="2"/>
        <v>1.137990956593529</v>
      </c>
      <c r="O24" s="240"/>
      <c r="P24" s="152">
        <v>0</v>
      </c>
      <c r="Q24" s="153"/>
      <c r="R24" s="152">
        <v>0</v>
      </c>
      <c r="S24" s="153">
        <v>73</v>
      </c>
      <c r="T24" s="159">
        <f t="shared" si="10"/>
        <v>0.04024871115858896</v>
      </c>
      <c r="U24" s="153"/>
      <c r="V24" s="152">
        <v>0</v>
      </c>
      <c r="W24" s="153"/>
      <c r="X24" s="152">
        <v>0</v>
      </c>
      <c r="Y24" s="153"/>
      <c r="Z24" s="152">
        <v>0</v>
      </c>
      <c r="AA24" s="399"/>
      <c r="AB24" s="152">
        <v>0</v>
      </c>
      <c r="AC24" s="240"/>
      <c r="AD24" s="152">
        <v>0</v>
      </c>
      <c r="AE24" s="118">
        <f t="shared" si="11"/>
        <v>2137</v>
      </c>
    </row>
    <row r="25" spans="1:31" ht="9.75" customHeight="1">
      <c r="A25" s="341"/>
      <c r="B25" s="341"/>
      <c r="C25" s="120">
        <v>10</v>
      </c>
      <c r="D25" s="120">
        <v>342</v>
      </c>
      <c r="E25" s="121">
        <v>0.0028</v>
      </c>
      <c r="F25" s="54">
        <f t="shared" si="7"/>
        <v>1.1587795241143175</v>
      </c>
      <c r="G25" s="117">
        <v>1.05</v>
      </c>
      <c r="H25" s="120">
        <v>1994</v>
      </c>
      <c r="I25" s="118">
        <f>I$28</f>
        <v>2137</v>
      </c>
      <c r="J25" s="98">
        <f t="shared" si="1"/>
        <v>3.5632349394361102</v>
      </c>
      <c r="K25" s="54">
        <f t="shared" si="6"/>
        <v>1.1782396677521179</v>
      </c>
      <c r="L25" s="140">
        <f t="shared" si="8"/>
        <v>1.05</v>
      </c>
      <c r="M25" s="144">
        <f t="shared" si="9"/>
        <v>2064</v>
      </c>
      <c r="N25" s="147">
        <f t="shared" si="2"/>
        <v>1.137990956593529</v>
      </c>
      <c r="O25" s="240"/>
      <c r="P25" s="152">
        <v>0</v>
      </c>
      <c r="Q25" s="153"/>
      <c r="R25" s="152">
        <v>0</v>
      </c>
      <c r="S25" s="153">
        <v>73</v>
      </c>
      <c r="T25" s="159">
        <f t="shared" si="10"/>
        <v>0.04024871115858896</v>
      </c>
      <c r="U25" s="153"/>
      <c r="V25" s="152">
        <v>0</v>
      </c>
      <c r="W25" s="153"/>
      <c r="X25" s="152">
        <v>0</v>
      </c>
      <c r="Y25" s="153"/>
      <c r="Z25" s="152">
        <v>0</v>
      </c>
      <c r="AA25" s="399"/>
      <c r="AB25" s="152">
        <v>0</v>
      </c>
      <c r="AC25" s="240"/>
      <c r="AD25" s="152">
        <v>0</v>
      </c>
      <c r="AE25" s="118">
        <f t="shared" si="11"/>
        <v>2137</v>
      </c>
    </row>
    <row r="26" spans="1:31" ht="9.75" customHeight="1">
      <c r="A26" s="341"/>
      <c r="B26" s="341"/>
      <c r="C26" s="120">
        <v>10</v>
      </c>
      <c r="D26" s="120">
        <v>342</v>
      </c>
      <c r="E26" s="121">
        <v>0.0028</v>
      </c>
      <c r="F26" s="54">
        <f t="shared" si="7"/>
        <v>1.1587795241143175</v>
      </c>
      <c r="G26" s="117">
        <v>1.05</v>
      </c>
      <c r="H26" s="120">
        <v>1994</v>
      </c>
      <c r="I26" s="118">
        <f>I$28</f>
        <v>2137</v>
      </c>
      <c r="J26" s="98">
        <f t="shared" si="1"/>
        <v>3.5632349394361102</v>
      </c>
      <c r="K26" s="54">
        <f t="shared" si="6"/>
        <v>1.1782396677521179</v>
      </c>
      <c r="L26" s="140">
        <f t="shared" si="8"/>
        <v>1.05</v>
      </c>
      <c r="M26" s="144">
        <f t="shared" si="9"/>
        <v>2064</v>
      </c>
      <c r="N26" s="147">
        <f t="shared" si="2"/>
        <v>1.137990956593529</v>
      </c>
      <c r="O26" s="240"/>
      <c r="P26" s="152">
        <v>0</v>
      </c>
      <c r="Q26" s="156"/>
      <c r="R26" s="152">
        <v>0</v>
      </c>
      <c r="S26" s="153">
        <v>73</v>
      </c>
      <c r="T26" s="159">
        <f t="shared" si="10"/>
        <v>0.04024871115858896</v>
      </c>
      <c r="U26" s="153"/>
      <c r="V26" s="152">
        <v>0</v>
      </c>
      <c r="W26" s="153"/>
      <c r="X26" s="152">
        <v>0</v>
      </c>
      <c r="Y26" s="153"/>
      <c r="Z26" s="152">
        <v>0</v>
      </c>
      <c r="AA26" s="399"/>
      <c r="AB26" s="152">
        <v>0</v>
      </c>
      <c r="AC26" s="240"/>
      <c r="AD26" s="152">
        <v>0</v>
      </c>
      <c r="AE26" s="118">
        <f t="shared" si="11"/>
        <v>2137</v>
      </c>
    </row>
    <row r="27" spans="1:31" ht="9.75" customHeight="1">
      <c r="A27" s="341"/>
      <c r="B27" s="341"/>
      <c r="C27" s="120">
        <v>10</v>
      </c>
      <c r="D27" s="120">
        <v>343</v>
      </c>
      <c r="E27" s="121">
        <v>0.0028</v>
      </c>
      <c r="F27" s="54">
        <f t="shared" si="7"/>
        <v>1.1587795241143175</v>
      </c>
      <c r="G27" s="117">
        <v>1.05</v>
      </c>
      <c r="H27" s="120">
        <v>1994</v>
      </c>
      <c r="I27" s="118">
        <f>I$28</f>
        <v>2137</v>
      </c>
      <c r="J27" s="98">
        <f t="shared" si="1"/>
        <v>3.5632349394361102</v>
      </c>
      <c r="K27" s="54">
        <f t="shared" si="6"/>
        <v>1.1782396677521179</v>
      </c>
      <c r="L27" s="140">
        <f t="shared" si="8"/>
        <v>1.05</v>
      </c>
      <c r="M27" s="144">
        <f t="shared" si="9"/>
        <v>2064</v>
      </c>
      <c r="N27" s="147">
        <f t="shared" si="2"/>
        <v>1.137990956593529</v>
      </c>
      <c r="O27" s="240"/>
      <c r="P27" s="152">
        <v>0</v>
      </c>
      <c r="Q27" s="156"/>
      <c r="R27" s="152">
        <v>0</v>
      </c>
      <c r="S27" s="153">
        <v>73</v>
      </c>
      <c r="T27" s="159">
        <f t="shared" si="10"/>
        <v>0.04024871115858896</v>
      </c>
      <c r="U27" s="153"/>
      <c r="V27" s="152">
        <v>0</v>
      </c>
      <c r="W27" s="156"/>
      <c r="X27" s="152">
        <v>0</v>
      </c>
      <c r="Y27" s="156"/>
      <c r="Z27" s="152">
        <v>0</v>
      </c>
      <c r="AA27" s="399"/>
      <c r="AB27" s="152">
        <v>0</v>
      </c>
      <c r="AC27" s="240"/>
      <c r="AD27" s="152">
        <v>0</v>
      </c>
      <c r="AE27" s="118">
        <f t="shared" si="11"/>
        <v>2137</v>
      </c>
    </row>
    <row r="28" spans="1:31" ht="9.75" customHeight="1">
      <c r="A28" s="96" t="s">
        <v>282</v>
      </c>
      <c r="B28" s="127" t="s">
        <v>283</v>
      </c>
      <c r="C28" s="120">
        <v>10</v>
      </c>
      <c r="D28" s="120">
        <v>396</v>
      </c>
      <c r="E28" s="121">
        <v>0.0028</v>
      </c>
      <c r="F28" s="54">
        <f t="shared" si="7"/>
        <v>1.1587795241143175</v>
      </c>
      <c r="G28" s="117">
        <v>1.59</v>
      </c>
      <c r="H28" s="120">
        <v>1994</v>
      </c>
      <c r="I28" s="118">
        <v>2137</v>
      </c>
      <c r="J28" s="98">
        <f t="shared" si="1"/>
        <v>3.5632349394361102</v>
      </c>
      <c r="K28" s="54">
        <f t="shared" si="6"/>
        <v>1.1782396677521179</v>
      </c>
      <c r="L28" s="140">
        <f t="shared" si="8"/>
        <v>1.59</v>
      </c>
      <c r="M28" s="144">
        <v>2064</v>
      </c>
      <c r="N28" s="147">
        <f t="shared" si="2"/>
        <v>1.137990956593529</v>
      </c>
      <c r="O28" s="240"/>
      <c r="P28" s="152">
        <v>0</v>
      </c>
      <c r="Q28" s="156"/>
      <c r="R28" s="152">
        <v>0</v>
      </c>
      <c r="S28" s="153">
        <v>73</v>
      </c>
      <c r="T28" s="159">
        <f t="shared" si="10"/>
        <v>0.04024871115858896</v>
      </c>
      <c r="U28" s="153"/>
      <c r="V28" s="152">
        <v>0</v>
      </c>
      <c r="W28" s="156"/>
      <c r="X28" s="152">
        <v>0</v>
      </c>
      <c r="Y28" s="156"/>
      <c r="Z28" s="152">
        <v>0</v>
      </c>
      <c r="AA28" s="399"/>
      <c r="AB28" s="152">
        <v>0</v>
      </c>
      <c r="AC28" s="240"/>
      <c r="AD28" s="152">
        <v>0</v>
      </c>
      <c r="AE28" s="118">
        <f t="shared" si="11"/>
        <v>2137</v>
      </c>
    </row>
    <row r="29" spans="1:31" ht="9.75" customHeight="1">
      <c r="A29" s="341"/>
      <c r="B29" s="341"/>
      <c r="C29" s="120">
        <v>10</v>
      </c>
      <c r="D29" s="120">
        <v>396</v>
      </c>
      <c r="E29" s="121">
        <v>0.0028</v>
      </c>
      <c r="F29" s="50">
        <f t="shared" si="7"/>
        <v>1.1587795241143175</v>
      </c>
      <c r="G29" s="117">
        <v>1.59</v>
      </c>
      <c r="H29" s="120">
        <v>1994</v>
      </c>
      <c r="I29" s="118">
        <v>2137</v>
      </c>
      <c r="J29" s="98">
        <f t="shared" si="1"/>
        <v>3.5632349394361102</v>
      </c>
      <c r="K29" s="54">
        <f t="shared" si="6"/>
        <v>1.1782396677521179</v>
      </c>
      <c r="L29" s="140">
        <f t="shared" si="8"/>
        <v>1.59</v>
      </c>
      <c r="M29" s="144">
        <v>2064</v>
      </c>
      <c r="N29" s="147">
        <f t="shared" si="2"/>
        <v>1.137990956593529</v>
      </c>
      <c r="O29" s="240"/>
      <c r="P29" s="152">
        <v>0</v>
      </c>
      <c r="Q29" s="156"/>
      <c r="R29" s="152">
        <v>0</v>
      </c>
      <c r="S29" s="153">
        <v>73</v>
      </c>
      <c r="T29" s="159">
        <f t="shared" si="10"/>
        <v>0.04024871115858896</v>
      </c>
      <c r="U29" s="153"/>
      <c r="V29" s="152">
        <v>0</v>
      </c>
      <c r="W29" s="156"/>
      <c r="X29" s="152">
        <v>0</v>
      </c>
      <c r="Y29" s="156"/>
      <c r="Z29" s="152">
        <v>0</v>
      </c>
      <c r="AA29" s="399"/>
      <c r="AB29" s="152">
        <v>0</v>
      </c>
      <c r="AC29" s="240"/>
      <c r="AD29" s="152">
        <v>0</v>
      </c>
      <c r="AE29" s="118">
        <f t="shared" si="11"/>
        <v>2137</v>
      </c>
    </row>
    <row r="30" spans="1:31" ht="9.75" customHeight="1">
      <c r="A30" s="341"/>
      <c r="B30" s="341"/>
      <c r="C30" s="120">
        <v>10</v>
      </c>
      <c r="D30" s="120">
        <v>396</v>
      </c>
      <c r="E30" s="121">
        <v>0.0028</v>
      </c>
      <c r="F30" s="50">
        <f t="shared" si="7"/>
        <v>1.1587795241143175</v>
      </c>
      <c r="G30" s="117">
        <v>1.59</v>
      </c>
      <c r="H30" s="120">
        <v>1994</v>
      </c>
      <c r="I30" s="118">
        <v>2137</v>
      </c>
      <c r="J30" s="98">
        <f t="shared" si="1"/>
        <v>3.5632349394361102</v>
      </c>
      <c r="K30" s="54">
        <f t="shared" si="6"/>
        <v>1.1782396677521179</v>
      </c>
      <c r="L30" s="140">
        <f t="shared" si="8"/>
        <v>1.59</v>
      </c>
      <c r="M30" s="144">
        <v>2064</v>
      </c>
      <c r="N30" s="147">
        <f t="shared" si="2"/>
        <v>1.137990956593529</v>
      </c>
      <c r="O30" s="240"/>
      <c r="P30" s="152">
        <v>0</v>
      </c>
      <c r="Q30" s="153"/>
      <c r="R30" s="152">
        <v>0</v>
      </c>
      <c r="S30" s="153">
        <v>73</v>
      </c>
      <c r="T30" s="159">
        <f t="shared" si="10"/>
        <v>0.04024871115858896</v>
      </c>
      <c r="U30" s="153"/>
      <c r="V30" s="152">
        <v>0</v>
      </c>
      <c r="W30" s="153"/>
      <c r="X30" s="152">
        <v>0</v>
      </c>
      <c r="Y30" s="156"/>
      <c r="Z30" s="152">
        <v>0</v>
      </c>
      <c r="AA30" s="399"/>
      <c r="AB30" s="152">
        <v>0</v>
      </c>
      <c r="AC30" s="240"/>
      <c r="AD30" s="152">
        <v>0</v>
      </c>
      <c r="AE30" s="118">
        <f t="shared" si="11"/>
        <v>2137</v>
      </c>
    </row>
    <row r="31" spans="1:31" ht="9.75" customHeight="1">
      <c r="A31" s="341"/>
      <c r="B31" s="341"/>
      <c r="C31" s="120"/>
      <c r="D31" s="120"/>
      <c r="E31" s="121"/>
      <c r="F31" s="50"/>
      <c r="G31" s="117"/>
      <c r="H31" s="120"/>
      <c r="I31" s="118"/>
      <c r="J31" s="98"/>
      <c r="K31" s="54"/>
      <c r="L31" s="119"/>
      <c r="M31" s="144"/>
      <c r="N31" s="147"/>
      <c r="O31" s="240"/>
      <c r="P31" s="152"/>
      <c r="Q31" s="153"/>
      <c r="R31" s="152"/>
      <c r="S31" s="153"/>
      <c r="T31" s="159"/>
      <c r="U31" s="153"/>
      <c r="V31" s="152"/>
      <c r="W31" s="153"/>
      <c r="X31" s="152"/>
      <c r="Y31" s="156"/>
      <c r="Z31" s="152"/>
      <c r="AA31" s="399"/>
      <c r="AB31" s="152"/>
      <c r="AC31" s="240"/>
      <c r="AD31" s="152"/>
      <c r="AE31" s="120"/>
    </row>
    <row r="32" spans="1:31" ht="9.75" customHeight="1">
      <c r="A32" s="96" t="s">
        <v>282</v>
      </c>
      <c r="B32" s="127" t="s">
        <v>284</v>
      </c>
      <c r="C32" s="128">
        <v>15</v>
      </c>
      <c r="D32" s="120">
        <v>375</v>
      </c>
      <c r="E32" s="121">
        <v>0.0014</v>
      </c>
      <c r="F32" s="50">
        <f aca="true" t="shared" si="12" ref="F32:F39">(1.486/0.013)*((3.14*($C32*$C32)/4)/144)*SQRT($E32)*POWER($C32/12/4,2/3)</f>
        <v>2.4158085028375385</v>
      </c>
      <c r="G32" s="117">
        <v>1.73</v>
      </c>
      <c r="H32" s="120">
        <v>1994</v>
      </c>
      <c r="I32" s="118">
        <v>5403</v>
      </c>
      <c r="J32" s="98">
        <f t="shared" si="1"/>
        <v>3.213636329668917</v>
      </c>
      <c r="K32" s="54">
        <f t="shared" si="6"/>
        <v>2.6866825561375336</v>
      </c>
      <c r="L32" s="140">
        <f aca="true" t="shared" si="13" ref="L32:L39">G32</f>
        <v>1.73</v>
      </c>
      <c r="M32" s="144">
        <v>5330</v>
      </c>
      <c r="N32" s="147">
        <f t="shared" si="2"/>
        <v>2.6503827548053027</v>
      </c>
      <c r="O32" s="153"/>
      <c r="P32" s="152">
        <v>0</v>
      </c>
      <c r="Q32" s="153"/>
      <c r="R32" s="152">
        <v>0</v>
      </c>
      <c r="S32" s="153">
        <v>73</v>
      </c>
      <c r="T32" s="159">
        <f t="shared" si="10"/>
        <v>0.03629980133223023</v>
      </c>
      <c r="U32" s="153"/>
      <c r="V32" s="152">
        <v>0</v>
      </c>
      <c r="W32" s="156"/>
      <c r="X32" s="152">
        <v>0</v>
      </c>
      <c r="Y32" s="153"/>
      <c r="Z32" s="152">
        <v>0</v>
      </c>
      <c r="AA32" s="399"/>
      <c r="AB32" s="152">
        <v>0</v>
      </c>
      <c r="AC32" s="240"/>
      <c r="AD32" s="152">
        <v>0</v>
      </c>
      <c r="AE32" s="118">
        <f aca="true" t="shared" si="14" ref="AE32:AE39">M32+O32+Q32+S32+U32+W32+Y32+AA32:AA33+AC32</f>
        <v>5403</v>
      </c>
    </row>
    <row r="33" spans="1:31" ht="9.75" customHeight="1">
      <c r="A33" s="341"/>
      <c r="B33" s="341"/>
      <c r="C33" s="120">
        <v>15</v>
      </c>
      <c r="D33" s="120">
        <v>375</v>
      </c>
      <c r="E33" s="121">
        <v>0.0014</v>
      </c>
      <c r="F33" s="50">
        <f t="shared" si="12"/>
        <v>2.4158085028375385</v>
      </c>
      <c r="G33" s="117">
        <v>1.73</v>
      </c>
      <c r="H33" s="120">
        <v>1994</v>
      </c>
      <c r="I33" s="118">
        <v>5403</v>
      </c>
      <c r="J33" s="98">
        <f t="shared" si="1"/>
        <v>3.213636329668917</v>
      </c>
      <c r="K33" s="54">
        <f t="shared" si="6"/>
        <v>2.6866825561375336</v>
      </c>
      <c r="L33" s="140">
        <f t="shared" si="13"/>
        <v>1.73</v>
      </c>
      <c r="M33" s="144">
        <v>5330</v>
      </c>
      <c r="N33" s="147">
        <f t="shared" si="2"/>
        <v>2.6503827548053027</v>
      </c>
      <c r="O33" s="153"/>
      <c r="P33" s="152">
        <v>0</v>
      </c>
      <c r="Q33" s="153"/>
      <c r="R33" s="152">
        <v>0</v>
      </c>
      <c r="S33" s="153">
        <v>73</v>
      </c>
      <c r="T33" s="159">
        <f t="shared" si="10"/>
        <v>0.03629980133223023</v>
      </c>
      <c r="U33" s="153"/>
      <c r="V33" s="152">
        <v>0</v>
      </c>
      <c r="W33" s="156"/>
      <c r="X33" s="152">
        <v>0</v>
      </c>
      <c r="Y33" s="156"/>
      <c r="Z33" s="152">
        <v>0</v>
      </c>
      <c r="AA33" s="399"/>
      <c r="AB33" s="152">
        <v>0</v>
      </c>
      <c r="AC33" s="240"/>
      <c r="AD33" s="152">
        <v>0</v>
      </c>
      <c r="AE33" s="118">
        <f t="shared" si="14"/>
        <v>5403</v>
      </c>
    </row>
    <row r="34" spans="1:31" ht="9.75" customHeight="1">
      <c r="A34" s="341"/>
      <c r="B34" s="341"/>
      <c r="C34" s="120">
        <v>15</v>
      </c>
      <c r="D34" s="120">
        <v>375</v>
      </c>
      <c r="E34" s="121">
        <v>0.0014</v>
      </c>
      <c r="F34" s="50">
        <f t="shared" si="12"/>
        <v>2.4158085028375385</v>
      </c>
      <c r="G34" s="117">
        <v>1.73</v>
      </c>
      <c r="H34" s="120">
        <v>1994</v>
      </c>
      <c r="I34" s="118">
        <v>5403</v>
      </c>
      <c r="J34" s="98">
        <f t="shared" si="1"/>
        <v>3.213636329668917</v>
      </c>
      <c r="K34" s="54">
        <f t="shared" si="6"/>
        <v>2.6866825561375336</v>
      </c>
      <c r="L34" s="140">
        <f t="shared" si="13"/>
        <v>1.73</v>
      </c>
      <c r="M34" s="144">
        <v>5330</v>
      </c>
      <c r="N34" s="147">
        <f t="shared" si="2"/>
        <v>2.6503827548053027</v>
      </c>
      <c r="O34" s="153"/>
      <c r="P34" s="152">
        <v>0</v>
      </c>
      <c r="Q34" s="153"/>
      <c r="R34" s="152">
        <v>0</v>
      </c>
      <c r="S34" s="153">
        <v>73</v>
      </c>
      <c r="T34" s="159">
        <f t="shared" si="10"/>
        <v>0.03629980133223023</v>
      </c>
      <c r="U34" s="153"/>
      <c r="V34" s="152">
        <v>0</v>
      </c>
      <c r="W34" s="153"/>
      <c r="X34" s="152">
        <v>0</v>
      </c>
      <c r="Y34" s="153"/>
      <c r="Z34" s="152">
        <v>0</v>
      </c>
      <c r="AA34" s="399"/>
      <c r="AB34" s="152">
        <v>0</v>
      </c>
      <c r="AC34" s="240"/>
      <c r="AD34" s="152">
        <v>0</v>
      </c>
      <c r="AE34" s="118">
        <f t="shared" si="14"/>
        <v>5403</v>
      </c>
    </row>
    <row r="35" spans="1:31" ht="9.75" customHeight="1">
      <c r="A35" s="341"/>
      <c r="B35" s="341"/>
      <c r="C35" s="120">
        <v>15</v>
      </c>
      <c r="D35" s="120">
        <v>375</v>
      </c>
      <c r="E35" s="121">
        <v>0.0014</v>
      </c>
      <c r="F35" s="50">
        <f t="shared" si="12"/>
        <v>2.4158085028375385</v>
      </c>
      <c r="G35" s="117">
        <v>1.73</v>
      </c>
      <c r="H35" s="120">
        <v>1994</v>
      </c>
      <c r="I35" s="118">
        <v>5403</v>
      </c>
      <c r="J35" s="98">
        <f t="shared" si="1"/>
        <v>3.213636329668917</v>
      </c>
      <c r="K35" s="54">
        <f t="shared" si="6"/>
        <v>2.6866825561375336</v>
      </c>
      <c r="L35" s="140">
        <f t="shared" si="13"/>
        <v>1.73</v>
      </c>
      <c r="M35" s="144">
        <v>5330</v>
      </c>
      <c r="N35" s="147">
        <f t="shared" si="2"/>
        <v>2.6503827548053027</v>
      </c>
      <c r="O35" s="153"/>
      <c r="P35" s="152">
        <v>0</v>
      </c>
      <c r="Q35" s="156"/>
      <c r="R35" s="152">
        <v>0</v>
      </c>
      <c r="S35" s="153">
        <v>73</v>
      </c>
      <c r="T35" s="159">
        <f t="shared" si="10"/>
        <v>0.03629980133223023</v>
      </c>
      <c r="U35" s="153"/>
      <c r="V35" s="152">
        <v>0</v>
      </c>
      <c r="W35" s="156"/>
      <c r="X35" s="152">
        <v>0</v>
      </c>
      <c r="Y35" s="156"/>
      <c r="Z35" s="152">
        <v>0</v>
      </c>
      <c r="AA35" s="399"/>
      <c r="AB35" s="152">
        <v>0</v>
      </c>
      <c r="AC35" s="240"/>
      <c r="AD35" s="152">
        <v>0</v>
      </c>
      <c r="AE35" s="118">
        <f t="shared" si="14"/>
        <v>5403</v>
      </c>
    </row>
    <row r="36" spans="1:31" ht="9.75" customHeight="1">
      <c r="A36" s="96" t="s">
        <v>282</v>
      </c>
      <c r="B36" s="96" t="s">
        <v>285</v>
      </c>
      <c r="C36" s="120">
        <v>18</v>
      </c>
      <c r="D36" s="120">
        <v>428</v>
      </c>
      <c r="E36" s="121">
        <v>0.0014</v>
      </c>
      <c r="F36" s="50">
        <f t="shared" si="12"/>
        <v>3.9283709876016655</v>
      </c>
      <c r="G36" s="117">
        <v>3</v>
      </c>
      <c r="H36" s="120">
        <v>1994</v>
      </c>
      <c r="I36" s="118">
        <v>7381</v>
      </c>
      <c r="J36" s="98">
        <f t="shared" si="1"/>
        <v>3.084325997389061</v>
      </c>
      <c r="K36" s="54">
        <f t="shared" si="6"/>
        <v>3.522574115345962</v>
      </c>
      <c r="L36" s="140">
        <f t="shared" si="13"/>
        <v>3</v>
      </c>
      <c r="M36" s="144">
        <v>7308</v>
      </c>
      <c r="N36" s="147">
        <f t="shared" si="2"/>
        <v>3.487734945799796</v>
      </c>
      <c r="O36" s="153"/>
      <c r="P36" s="152">
        <v>0</v>
      </c>
      <c r="Q36" s="153"/>
      <c r="R36" s="152">
        <v>0</v>
      </c>
      <c r="S36" s="153">
        <v>73</v>
      </c>
      <c r="T36" s="159">
        <f t="shared" si="10"/>
        <v>0.034839169546166546</v>
      </c>
      <c r="U36" s="153"/>
      <c r="V36" s="152">
        <v>0</v>
      </c>
      <c r="W36" s="156"/>
      <c r="X36" s="152">
        <v>0</v>
      </c>
      <c r="Y36" s="153"/>
      <c r="Z36" s="152">
        <v>0</v>
      </c>
      <c r="AA36" s="399"/>
      <c r="AB36" s="152">
        <v>0</v>
      </c>
      <c r="AC36" s="240"/>
      <c r="AD36" s="152">
        <v>0</v>
      </c>
      <c r="AE36" s="118">
        <f t="shared" si="14"/>
        <v>7381</v>
      </c>
    </row>
    <row r="37" spans="1:31" ht="9.75" customHeight="1">
      <c r="A37" s="341"/>
      <c r="B37" s="341"/>
      <c r="C37" s="120">
        <v>18</v>
      </c>
      <c r="D37" s="120">
        <v>435</v>
      </c>
      <c r="E37" s="121">
        <v>0.0014</v>
      </c>
      <c r="F37" s="50">
        <f t="shared" si="12"/>
        <v>3.9283709876016655</v>
      </c>
      <c r="G37" s="117">
        <v>3</v>
      </c>
      <c r="H37" s="120">
        <v>1994</v>
      </c>
      <c r="I37" s="118">
        <v>7380</v>
      </c>
      <c r="J37" s="98">
        <f t="shared" si="1"/>
        <v>3.0843831113483584</v>
      </c>
      <c r="K37" s="54">
        <f t="shared" si="6"/>
        <v>3.5221620868227133</v>
      </c>
      <c r="L37" s="140">
        <f t="shared" si="13"/>
        <v>3</v>
      </c>
      <c r="M37" s="144">
        <v>7307</v>
      </c>
      <c r="N37" s="147">
        <f t="shared" si="2"/>
        <v>3.4873222721427592</v>
      </c>
      <c r="O37" s="153"/>
      <c r="P37" s="152">
        <v>0</v>
      </c>
      <c r="Q37" s="156"/>
      <c r="R37" s="152">
        <v>0</v>
      </c>
      <c r="S37" s="153">
        <v>73</v>
      </c>
      <c r="T37" s="159">
        <f t="shared" si="10"/>
        <v>0.034839814679953666</v>
      </c>
      <c r="U37" s="153"/>
      <c r="V37" s="152">
        <v>0</v>
      </c>
      <c r="W37" s="156"/>
      <c r="X37" s="152">
        <v>0</v>
      </c>
      <c r="Y37" s="156"/>
      <c r="Z37" s="152">
        <v>0</v>
      </c>
      <c r="AA37" s="399"/>
      <c r="AB37" s="152">
        <v>0</v>
      </c>
      <c r="AC37" s="240"/>
      <c r="AD37" s="152">
        <v>0</v>
      </c>
      <c r="AE37" s="118">
        <f t="shared" si="14"/>
        <v>7380</v>
      </c>
    </row>
    <row r="38" spans="1:31" ht="9.75" customHeight="1">
      <c r="A38" s="341"/>
      <c r="B38" s="341"/>
      <c r="C38" s="120">
        <v>18</v>
      </c>
      <c r="D38" s="120">
        <v>435</v>
      </c>
      <c r="E38" s="121">
        <v>0.0014</v>
      </c>
      <c r="F38" s="50">
        <f t="shared" si="12"/>
        <v>3.9283709876016655</v>
      </c>
      <c r="G38" s="117">
        <v>3</v>
      </c>
      <c r="H38" s="120">
        <v>1994</v>
      </c>
      <c r="I38" s="118">
        <v>7380</v>
      </c>
      <c r="J38" s="98">
        <f t="shared" si="1"/>
        <v>3.0843831113483584</v>
      </c>
      <c r="K38" s="54">
        <f t="shared" si="6"/>
        <v>3.5221620868227133</v>
      </c>
      <c r="L38" s="140">
        <f t="shared" si="13"/>
        <v>3</v>
      </c>
      <c r="M38" s="144">
        <v>7307</v>
      </c>
      <c r="N38" s="147">
        <f t="shared" si="2"/>
        <v>3.4873222721427592</v>
      </c>
      <c r="O38" s="153"/>
      <c r="P38" s="152">
        <v>0</v>
      </c>
      <c r="Q38" s="153"/>
      <c r="R38" s="152">
        <v>0</v>
      </c>
      <c r="S38" s="153">
        <v>73</v>
      </c>
      <c r="T38" s="159">
        <f t="shared" si="10"/>
        <v>0.034839814679953666</v>
      </c>
      <c r="U38" s="153"/>
      <c r="V38" s="152">
        <v>0</v>
      </c>
      <c r="W38" s="156"/>
      <c r="X38" s="152">
        <v>0</v>
      </c>
      <c r="Y38" s="156"/>
      <c r="Z38" s="152">
        <v>0</v>
      </c>
      <c r="AA38" s="399"/>
      <c r="AB38" s="152">
        <v>0</v>
      </c>
      <c r="AC38" s="240"/>
      <c r="AD38" s="152">
        <v>0</v>
      </c>
      <c r="AE38" s="118">
        <f t="shared" si="14"/>
        <v>7380</v>
      </c>
    </row>
    <row r="39" spans="1:31" ht="9.75" customHeight="1">
      <c r="A39" s="341"/>
      <c r="B39" s="341"/>
      <c r="C39" s="120">
        <v>18</v>
      </c>
      <c r="D39" s="120">
        <v>400</v>
      </c>
      <c r="E39" s="121">
        <v>0.0014</v>
      </c>
      <c r="F39" s="50">
        <f t="shared" si="12"/>
        <v>3.9283709876016655</v>
      </c>
      <c r="G39" s="117">
        <v>3.52</v>
      </c>
      <c r="H39" s="120">
        <v>1994</v>
      </c>
      <c r="I39" s="118">
        <v>7380</v>
      </c>
      <c r="J39" s="98">
        <f t="shared" si="1"/>
        <v>3.0843831113483584</v>
      </c>
      <c r="K39" s="54">
        <f t="shared" si="6"/>
        <v>3.5221620868227133</v>
      </c>
      <c r="L39" s="140">
        <f t="shared" si="13"/>
        <v>3.52</v>
      </c>
      <c r="M39" s="144">
        <v>7307</v>
      </c>
      <c r="N39" s="147">
        <f t="shared" si="2"/>
        <v>3.4873222721427592</v>
      </c>
      <c r="O39" s="153"/>
      <c r="P39" s="152">
        <v>0</v>
      </c>
      <c r="Q39" s="153"/>
      <c r="R39" s="152">
        <v>0</v>
      </c>
      <c r="S39" s="153">
        <v>73</v>
      </c>
      <c r="T39" s="159">
        <f t="shared" si="10"/>
        <v>0.034839814679953666</v>
      </c>
      <c r="U39" s="153"/>
      <c r="V39" s="152">
        <v>0</v>
      </c>
      <c r="W39" s="153"/>
      <c r="X39" s="152">
        <v>0</v>
      </c>
      <c r="Y39" s="153"/>
      <c r="Z39" s="152">
        <v>0</v>
      </c>
      <c r="AA39" s="399"/>
      <c r="AB39" s="152">
        <v>0</v>
      </c>
      <c r="AC39" s="240"/>
      <c r="AD39" s="152">
        <v>0</v>
      </c>
      <c r="AE39" s="118">
        <f t="shared" si="14"/>
        <v>7380</v>
      </c>
    </row>
    <row r="40" spans="1:31" ht="9.75" customHeight="1">
      <c r="A40" s="341"/>
      <c r="B40" s="341"/>
      <c r="C40" s="120"/>
      <c r="D40" s="120"/>
      <c r="E40" s="121"/>
      <c r="F40" s="50"/>
      <c r="G40" s="117"/>
      <c r="H40" s="120"/>
      <c r="I40" s="118"/>
      <c r="J40" s="98"/>
      <c r="K40" s="54"/>
      <c r="L40" s="119"/>
      <c r="M40" s="144"/>
      <c r="N40" s="147"/>
      <c r="O40" s="153"/>
      <c r="P40" s="152"/>
      <c r="Q40" s="153"/>
      <c r="R40" s="152"/>
      <c r="S40" s="153"/>
      <c r="T40" s="159"/>
      <c r="U40" s="153"/>
      <c r="V40" s="152"/>
      <c r="W40" s="153"/>
      <c r="X40" s="152"/>
      <c r="Y40" s="153"/>
      <c r="Z40" s="152"/>
      <c r="AA40" s="399"/>
      <c r="AB40" s="152"/>
      <c r="AC40" s="240"/>
      <c r="AD40" s="152"/>
      <c r="AE40" s="120"/>
    </row>
    <row r="41" spans="1:31" ht="9.75" customHeight="1">
      <c r="A41" s="96" t="s">
        <v>282</v>
      </c>
      <c r="B41" s="96" t="s">
        <v>286</v>
      </c>
      <c r="C41" s="120">
        <v>15</v>
      </c>
      <c r="D41" s="120">
        <v>400</v>
      </c>
      <c r="E41" s="121">
        <v>0.0015</v>
      </c>
      <c r="F41" s="50">
        <f>(1.486/0.013)*((3.14*($C41*$C41)/4)/144)*SQRT($E41)*POWER($C41/12/4,2/3)</f>
        <v>2.500599368661902</v>
      </c>
      <c r="G41" s="117">
        <v>3.52</v>
      </c>
      <c r="H41" s="120">
        <v>1967</v>
      </c>
      <c r="I41" s="118">
        <v>7380</v>
      </c>
      <c r="J41" s="98">
        <f t="shared" si="1"/>
        <v>3.0843831113483584</v>
      </c>
      <c r="K41" s="54">
        <f t="shared" si="6"/>
        <v>3.5221620868227133</v>
      </c>
      <c r="L41" s="140">
        <f>G41</f>
        <v>3.52</v>
      </c>
      <c r="M41" s="144">
        <v>7307</v>
      </c>
      <c r="N41" s="147">
        <f t="shared" si="2"/>
        <v>3.4873222721427592</v>
      </c>
      <c r="O41" s="153"/>
      <c r="P41" s="152">
        <v>0</v>
      </c>
      <c r="Q41" s="153"/>
      <c r="R41" s="152">
        <v>0</v>
      </c>
      <c r="S41" s="153">
        <v>73</v>
      </c>
      <c r="T41" s="159">
        <f t="shared" si="10"/>
        <v>0.034839814679953666</v>
      </c>
      <c r="U41" s="153"/>
      <c r="V41" s="152">
        <v>0</v>
      </c>
      <c r="W41" s="153"/>
      <c r="X41" s="152">
        <v>0</v>
      </c>
      <c r="Y41" s="153"/>
      <c r="Z41" s="152">
        <v>0</v>
      </c>
      <c r="AA41" s="399"/>
      <c r="AB41" s="152">
        <v>0</v>
      </c>
      <c r="AC41" s="240"/>
      <c r="AD41" s="152">
        <v>0</v>
      </c>
      <c r="AE41" s="118">
        <f>M41+O41+Q41+S41+U41+W41+Y41+AA41:AA42+AC41</f>
        <v>7380</v>
      </c>
    </row>
    <row r="42" spans="1:31" ht="9.75" customHeight="1">
      <c r="A42" s="341"/>
      <c r="B42" s="341"/>
      <c r="C42" s="120">
        <v>15</v>
      </c>
      <c r="D42" s="120">
        <v>330</v>
      </c>
      <c r="E42" s="121">
        <v>0.0015</v>
      </c>
      <c r="F42" s="50">
        <f>(1.486/0.013)*((3.14*($C42*$C42)/4)/144)*SQRT($E42)*POWER($C42/12/4,2/3)</f>
        <v>2.500599368661902</v>
      </c>
      <c r="G42" s="117" t="s">
        <v>275</v>
      </c>
      <c r="H42" s="120">
        <v>1967</v>
      </c>
      <c r="I42" s="118">
        <v>7380</v>
      </c>
      <c r="J42" s="98">
        <f t="shared" si="1"/>
        <v>3.0843831113483584</v>
      </c>
      <c r="K42" s="54">
        <f t="shared" si="6"/>
        <v>3.5221620868227133</v>
      </c>
      <c r="L42" s="140" t="str">
        <f>G42</f>
        <v>3.S2</v>
      </c>
      <c r="M42" s="144">
        <v>7307</v>
      </c>
      <c r="N42" s="147">
        <f t="shared" si="2"/>
        <v>3.4873222721427592</v>
      </c>
      <c r="O42" s="153"/>
      <c r="P42" s="152">
        <v>0</v>
      </c>
      <c r="Q42" s="153"/>
      <c r="R42" s="152">
        <v>0</v>
      </c>
      <c r="S42" s="153">
        <v>73</v>
      </c>
      <c r="T42" s="159">
        <f t="shared" si="10"/>
        <v>0.034839814679953666</v>
      </c>
      <c r="U42" s="153"/>
      <c r="V42" s="152">
        <v>0</v>
      </c>
      <c r="W42" s="153"/>
      <c r="X42" s="152">
        <v>0</v>
      </c>
      <c r="Y42" s="153"/>
      <c r="Z42" s="152">
        <v>0</v>
      </c>
      <c r="AA42" s="399"/>
      <c r="AB42" s="152">
        <v>0</v>
      </c>
      <c r="AC42" s="240"/>
      <c r="AD42" s="152">
        <v>0</v>
      </c>
      <c r="AE42" s="118">
        <f>M42+O42+Q42+S42+U42+W42+Y42+AA42:AA43+AC42</f>
        <v>7380</v>
      </c>
    </row>
    <row r="43" spans="1:31" ht="9.75" customHeight="1">
      <c r="A43" s="341"/>
      <c r="B43" s="341"/>
      <c r="C43" s="120">
        <v>15</v>
      </c>
      <c r="D43" s="120">
        <v>250</v>
      </c>
      <c r="E43" s="121">
        <v>0.0015</v>
      </c>
      <c r="F43" s="50">
        <f>(1.486/0.013)*((3.14*($C43*$C43)/4)/144)*SQRT($E43)*POWER($C43/12/4,2/3)</f>
        <v>2.500599368661902</v>
      </c>
      <c r="G43" s="117" t="s">
        <v>275</v>
      </c>
      <c r="H43" s="120">
        <v>1967</v>
      </c>
      <c r="I43" s="118">
        <v>7380</v>
      </c>
      <c r="J43" s="98">
        <f t="shared" si="1"/>
        <v>3.0843831113483584</v>
      </c>
      <c r="K43" s="54">
        <f t="shared" si="6"/>
        <v>3.5221620868227133</v>
      </c>
      <c r="L43" s="140" t="str">
        <f>G43</f>
        <v>3.S2</v>
      </c>
      <c r="M43" s="144">
        <v>7307</v>
      </c>
      <c r="N43" s="147">
        <f t="shared" si="2"/>
        <v>3.4873222721427592</v>
      </c>
      <c r="O43" s="153"/>
      <c r="P43" s="152">
        <v>0</v>
      </c>
      <c r="Q43" s="153"/>
      <c r="R43" s="152">
        <v>0</v>
      </c>
      <c r="S43" s="153">
        <v>73</v>
      </c>
      <c r="T43" s="159">
        <f t="shared" si="10"/>
        <v>0.034839814679953666</v>
      </c>
      <c r="U43" s="153"/>
      <c r="V43" s="152">
        <v>0</v>
      </c>
      <c r="W43" s="156"/>
      <c r="X43" s="152">
        <v>0</v>
      </c>
      <c r="Y43" s="156"/>
      <c r="Z43" s="152">
        <v>0</v>
      </c>
      <c r="AA43" s="399"/>
      <c r="AB43" s="152">
        <v>0</v>
      </c>
      <c r="AC43" s="240"/>
      <c r="AD43" s="152">
        <v>0</v>
      </c>
      <c r="AE43" s="118">
        <f>M43+O43+Q43+S43+U43+W43+Y43+AA43:AA44+AC43</f>
        <v>7380</v>
      </c>
    </row>
    <row r="44" spans="1:31" ht="9.75" customHeight="1">
      <c r="A44" s="341"/>
      <c r="B44" s="341"/>
      <c r="C44" s="120"/>
      <c r="D44" s="120"/>
      <c r="E44" s="121"/>
      <c r="F44" s="50"/>
      <c r="G44" s="117"/>
      <c r="H44" s="120"/>
      <c r="I44" s="118"/>
      <c r="J44" s="98"/>
      <c r="K44" s="54"/>
      <c r="L44" s="119"/>
      <c r="M44" s="144"/>
      <c r="N44" s="147"/>
      <c r="O44" s="153"/>
      <c r="P44" s="152"/>
      <c r="Q44" s="153"/>
      <c r="R44" s="152"/>
      <c r="S44" s="153"/>
      <c r="T44" s="159"/>
      <c r="U44" s="153"/>
      <c r="V44" s="159"/>
      <c r="W44" s="156"/>
      <c r="X44" s="152"/>
      <c r="Y44" s="156"/>
      <c r="Z44" s="152"/>
      <c r="AA44" s="399"/>
      <c r="AB44" s="152"/>
      <c r="AC44" s="240"/>
      <c r="AD44" s="152"/>
      <c r="AE44" s="120"/>
    </row>
    <row r="45" spans="1:31" ht="9.75" customHeight="1">
      <c r="A45" s="96" t="s">
        <v>268</v>
      </c>
      <c r="B45" s="96" t="s">
        <v>287</v>
      </c>
      <c r="C45" s="120">
        <v>0</v>
      </c>
      <c r="D45" s="120">
        <v>0</v>
      </c>
      <c r="E45" s="121">
        <v>0.0015</v>
      </c>
      <c r="F45" s="50">
        <f>(1.486/0.013)*((3.14*($C45*$C45)/4)/144)*SQRT($E45)*POWER($C45/12/4,2/3)</f>
        <v>0</v>
      </c>
      <c r="G45" s="117">
        <v>6</v>
      </c>
      <c r="H45" s="120">
        <v>1969</v>
      </c>
      <c r="I45" s="118">
        <v>276</v>
      </c>
      <c r="J45" s="98">
        <f t="shared" si="1"/>
        <v>4.093678561404498</v>
      </c>
      <c r="K45" s="54">
        <f t="shared" si="6"/>
        <v>0.17482658740400966</v>
      </c>
      <c r="L45" s="140">
        <f>K45</f>
        <v>0.17482658740400966</v>
      </c>
      <c r="M45" s="144">
        <f>M$46</f>
        <v>208</v>
      </c>
      <c r="N45" s="147">
        <f t="shared" si="2"/>
        <v>0.13175337021751451</v>
      </c>
      <c r="O45" s="153"/>
      <c r="P45" s="152">
        <v>0</v>
      </c>
      <c r="Q45" s="156"/>
      <c r="R45" s="152">
        <v>0</v>
      </c>
      <c r="S45" s="153"/>
      <c r="T45" s="152">
        <v>0</v>
      </c>
      <c r="U45" s="153">
        <v>68</v>
      </c>
      <c r="V45" s="159">
        <f>J45*100*U45/(7.48*24*60*60)</f>
        <v>0.043073217186495136</v>
      </c>
      <c r="W45" s="156"/>
      <c r="X45" s="152">
        <v>0</v>
      </c>
      <c r="Y45" s="156"/>
      <c r="Z45" s="152">
        <v>0</v>
      </c>
      <c r="AA45" s="399"/>
      <c r="AB45" s="152">
        <v>0</v>
      </c>
      <c r="AC45" s="240"/>
      <c r="AD45" s="152">
        <v>0</v>
      </c>
      <c r="AE45" s="118">
        <f>M45+O45+Q45+S45+U45+W45+Y45+AA45:AA46+AC45</f>
        <v>276</v>
      </c>
    </row>
    <row r="46" spans="2:31" ht="9.75" customHeight="1">
      <c r="B46" s="96" t="s">
        <v>474</v>
      </c>
      <c r="C46" s="120">
        <v>6</v>
      </c>
      <c r="D46" s="120">
        <v>1530</v>
      </c>
      <c r="E46" s="404"/>
      <c r="F46" s="50">
        <f>(1.486/0.013)*((3.14*($C46*$C46)/4)/144)*SQRT($E46)*POWER($C46/12/4,2/3)</f>
        <v>0</v>
      </c>
      <c r="G46" s="117">
        <v>6</v>
      </c>
      <c r="H46" s="120">
        <v>1969</v>
      </c>
      <c r="I46" s="118">
        <v>276</v>
      </c>
      <c r="J46" s="98">
        <f t="shared" si="1"/>
        <v>4.093678561404498</v>
      </c>
      <c r="K46" s="54">
        <f t="shared" si="6"/>
        <v>0.17482658740400966</v>
      </c>
      <c r="L46" s="140">
        <f>K46</f>
        <v>0.17482658740400966</v>
      </c>
      <c r="M46" s="144">
        <v>208</v>
      </c>
      <c r="N46" s="147">
        <f t="shared" si="2"/>
        <v>0.13175337021751451</v>
      </c>
      <c r="O46" s="153"/>
      <c r="P46" s="152">
        <v>0</v>
      </c>
      <c r="Q46" s="156"/>
      <c r="R46" s="152">
        <v>0</v>
      </c>
      <c r="S46" s="153"/>
      <c r="T46" s="152">
        <v>0</v>
      </c>
      <c r="U46" s="153">
        <v>68</v>
      </c>
      <c r="V46" s="159">
        <f aca="true" t="shared" si="15" ref="V46:V61">J46*100*U46/(7.48*24*60*60)</f>
        <v>0.043073217186495136</v>
      </c>
      <c r="W46" s="153"/>
      <c r="X46" s="152">
        <v>0</v>
      </c>
      <c r="Y46" s="156"/>
      <c r="Z46" s="152">
        <v>0</v>
      </c>
      <c r="AA46" s="399"/>
      <c r="AB46" s="152">
        <v>0</v>
      </c>
      <c r="AC46" s="240"/>
      <c r="AD46" s="152">
        <v>0</v>
      </c>
      <c r="AE46" s="118">
        <f>M46+O46+Q46+S46+U46+W46+Y46+AA46:AA47+AC46</f>
        <v>276</v>
      </c>
    </row>
    <row r="47" spans="2:31" ht="9.75" customHeight="1">
      <c r="B47" s="96" t="s">
        <v>288</v>
      </c>
      <c r="C47" s="120">
        <v>8</v>
      </c>
      <c r="D47" s="120">
        <v>320</v>
      </c>
      <c r="E47" s="121">
        <v>0.004</v>
      </c>
      <c r="F47" s="50">
        <f>(1.486/0.013)*((3.14*($C47*$C47)/4)/144)*SQRT($E47)*POWER($C47/12/4,2/3)</f>
        <v>0.7638799151063596</v>
      </c>
      <c r="G47" s="117">
        <v>6</v>
      </c>
      <c r="H47" s="120">
        <v>1969</v>
      </c>
      <c r="I47" s="118">
        <v>276</v>
      </c>
      <c r="J47" s="98">
        <f t="shared" si="1"/>
        <v>4.093678561404498</v>
      </c>
      <c r="K47" s="54">
        <f t="shared" si="6"/>
        <v>0.17482658740400966</v>
      </c>
      <c r="L47" s="140">
        <f>K47</f>
        <v>0.17482658740400966</v>
      </c>
      <c r="M47" s="144">
        <v>208</v>
      </c>
      <c r="N47" s="147">
        <f t="shared" si="2"/>
        <v>0.13175337021751451</v>
      </c>
      <c r="O47" s="153"/>
      <c r="P47" s="152">
        <v>0</v>
      </c>
      <c r="Q47" s="156"/>
      <c r="R47" s="152">
        <v>0</v>
      </c>
      <c r="S47" s="153"/>
      <c r="T47" s="152">
        <v>0</v>
      </c>
      <c r="U47" s="153">
        <v>68</v>
      </c>
      <c r="V47" s="159">
        <f t="shared" si="15"/>
        <v>0.043073217186495136</v>
      </c>
      <c r="W47" s="156"/>
      <c r="X47" s="152">
        <v>0</v>
      </c>
      <c r="Y47" s="156"/>
      <c r="Z47" s="152">
        <v>0</v>
      </c>
      <c r="AA47" s="399"/>
      <c r="AB47" s="152">
        <v>0</v>
      </c>
      <c r="AC47" s="240"/>
      <c r="AD47" s="152">
        <v>0</v>
      </c>
      <c r="AE47" s="118">
        <f>M47+O47+Q47+S47+U47+W47+Y47+AA47:AA48+AC47</f>
        <v>276</v>
      </c>
    </row>
    <row r="48" spans="1:31" ht="9.75" customHeight="1">
      <c r="A48" s="341"/>
      <c r="B48" s="341"/>
      <c r="C48" s="120">
        <v>8</v>
      </c>
      <c r="D48" s="120">
        <v>320</v>
      </c>
      <c r="E48" s="121">
        <v>0.004</v>
      </c>
      <c r="F48" s="50">
        <f>(1.486/0.013)*((3.14*($C48*$C48)/4)/144)*SQRT($E48)*POWER($C48/12/4,2/3)</f>
        <v>0.7638799151063596</v>
      </c>
      <c r="G48" s="117">
        <v>6</v>
      </c>
      <c r="H48" s="120">
        <v>1969</v>
      </c>
      <c r="I48" s="118">
        <v>276</v>
      </c>
      <c r="J48" s="98">
        <f t="shared" si="1"/>
        <v>4.093678561404498</v>
      </c>
      <c r="K48" s="54">
        <f t="shared" si="6"/>
        <v>0.17482658740400966</v>
      </c>
      <c r="L48" s="140">
        <f>K48</f>
        <v>0.17482658740400966</v>
      </c>
      <c r="M48" s="144">
        <v>208</v>
      </c>
      <c r="N48" s="147">
        <f t="shared" si="2"/>
        <v>0.13175337021751451</v>
      </c>
      <c r="O48" s="153"/>
      <c r="P48" s="152">
        <v>0</v>
      </c>
      <c r="Q48" s="153"/>
      <c r="R48" s="152">
        <v>0</v>
      </c>
      <c r="S48" s="153"/>
      <c r="T48" s="152">
        <v>0</v>
      </c>
      <c r="U48" s="153">
        <v>68</v>
      </c>
      <c r="V48" s="159">
        <f t="shared" si="15"/>
        <v>0.043073217186495136</v>
      </c>
      <c r="W48" s="153"/>
      <c r="X48" s="152">
        <v>0</v>
      </c>
      <c r="Y48" s="156"/>
      <c r="Z48" s="152">
        <v>0</v>
      </c>
      <c r="AA48" s="399"/>
      <c r="AB48" s="152">
        <v>0</v>
      </c>
      <c r="AC48" s="240"/>
      <c r="AD48" s="152">
        <v>0</v>
      </c>
      <c r="AE48" s="118">
        <f>M48+O48+Q48+S48+U48+W48+Y48+AA48:AA49+AC48</f>
        <v>276</v>
      </c>
    </row>
    <row r="49" spans="1:31" ht="9.75" customHeight="1">
      <c r="A49" s="341"/>
      <c r="B49" s="341"/>
      <c r="C49" s="120"/>
      <c r="D49" s="120"/>
      <c r="E49" s="121"/>
      <c r="F49" s="50"/>
      <c r="G49" s="117"/>
      <c r="H49" s="120"/>
      <c r="I49" s="118"/>
      <c r="J49" s="98"/>
      <c r="K49" s="54"/>
      <c r="L49" s="119"/>
      <c r="M49" s="144"/>
      <c r="N49" s="147"/>
      <c r="O49" s="153"/>
      <c r="P49" s="152"/>
      <c r="Q49" s="153"/>
      <c r="R49" s="152"/>
      <c r="S49" s="153"/>
      <c r="T49" s="159"/>
      <c r="U49" s="153"/>
      <c r="V49" s="159"/>
      <c r="W49" s="153"/>
      <c r="X49" s="152"/>
      <c r="Y49" s="156"/>
      <c r="Z49" s="152"/>
      <c r="AA49" s="399"/>
      <c r="AB49" s="152"/>
      <c r="AC49" s="240"/>
      <c r="AD49" s="152"/>
      <c r="AE49" s="120"/>
    </row>
    <row r="50" spans="1:31" ht="9.75" customHeight="1">
      <c r="A50" s="96" t="s">
        <v>282</v>
      </c>
      <c r="B50" s="96" t="s">
        <v>268</v>
      </c>
      <c r="C50" s="120">
        <v>15</v>
      </c>
      <c r="D50" s="120">
        <v>160</v>
      </c>
      <c r="E50" s="121">
        <v>0.0015</v>
      </c>
      <c r="F50" s="50">
        <f aca="true" t="shared" si="16" ref="F50:F55">(1.486/0.013)*((3.14*($C50*$C50)/4)/144)*SQRT($E50)*POWER($C50/12/4,2/3)</f>
        <v>2.500599368661902</v>
      </c>
      <c r="G50" s="117">
        <v>3.58</v>
      </c>
      <c r="H50" s="120">
        <v>1967</v>
      </c>
      <c r="I50" s="118">
        <v>7980</v>
      </c>
      <c r="J50" s="98">
        <f t="shared" si="1"/>
        <v>3.0513152996120327</v>
      </c>
      <c r="K50" s="54">
        <f t="shared" si="6"/>
        <v>3.7676854468248697</v>
      </c>
      <c r="L50" s="140">
        <f aca="true" t="shared" si="17" ref="L50:L55">G50</f>
        <v>3.58</v>
      </c>
      <c r="M50" s="144">
        <v>7839</v>
      </c>
      <c r="N50" s="147">
        <f t="shared" si="2"/>
        <v>3.701113561110295</v>
      </c>
      <c r="O50" s="153"/>
      <c r="P50" s="152">
        <v>0</v>
      </c>
      <c r="Q50" s="153"/>
      <c r="R50" s="152">
        <v>0</v>
      </c>
      <c r="S50" s="153">
        <v>73</v>
      </c>
      <c r="T50" s="159">
        <f t="shared" si="10"/>
        <v>0.03446629544087913</v>
      </c>
      <c r="U50" s="153">
        <v>68</v>
      </c>
      <c r="V50" s="159">
        <f t="shared" si="15"/>
        <v>0.03210559027369563</v>
      </c>
      <c r="W50" s="153"/>
      <c r="X50" s="152">
        <v>0</v>
      </c>
      <c r="Y50" s="153"/>
      <c r="Z50" s="152">
        <v>0</v>
      </c>
      <c r="AA50" s="399"/>
      <c r="AB50" s="152">
        <v>0</v>
      </c>
      <c r="AC50" s="240"/>
      <c r="AD50" s="152">
        <v>0</v>
      </c>
      <c r="AE50" s="118">
        <f aca="true" t="shared" si="18" ref="AE50:AE55">M50+O50+Q50+S50+U50+W50+Y50+AA50:AA51+AC50</f>
        <v>7980</v>
      </c>
    </row>
    <row r="51" spans="1:31" ht="9.75" customHeight="1">
      <c r="A51" s="341"/>
      <c r="B51" s="341"/>
      <c r="C51" s="120">
        <v>18</v>
      </c>
      <c r="D51" s="120">
        <v>326</v>
      </c>
      <c r="E51" s="121">
        <v>0.0014</v>
      </c>
      <c r="F51" s="50">
        <f t="shared" si="16"/>
        <v>3.9283709876016655</v>
      </c>
      <c r="G51" s="117">
        <v>3.58</v>
      </c>
      <c r="H51" s="120" t="s">
        <v>276</v>
      </c>
      <c r="I51" s="118">
        <v>7980</v>
      </c>
      <c r="J51" s="98">
        <f t="shared" si="1"/>
        <v>3.0513152996120327</v>
      </c>
      <c r="K51" s="54">
        <f t="shared" si="6"/>
        <v>3.7676854468248697</v>
      </c>
      <c r="L51" s="140">
        <f t="shared" si="17"/>
        <v>3.58</v>
      </c>
      <c r="M51" s="144">
        <v>7839</v>
      </c>
      <c r="N51" s="147">
        <f t="shared" si="2"/>
        <v>3.701113561110295</v>
      </c>
      <c r="O51" s="153"/>
      <c r="P51" s="152">
        <v>0</v>
      </c>
      <c r="Q51" s="153"/>
      <c r="R51" s="152">
        <v>0</v>
      </c>
      <c r="S51" s="153">
        <v>73</v>
      </c>
      <c r="T51" s="159">
        <f t="shared" si="10"/>
        <v>0.03446629544087913</v>
      </c>
      <c r="U51" s="153">
        <v>68</v>
      </c>
      <c r="V51" s="159">
        <f t="shared" si="15"/>
        <v>0.03210559027369563</v>
      </c>
      <c r="W51" s="153"/>
      <c r="X51" s="152">
        <v>0</v>
      </c>
      <c r="Y51" s="153"/>
      <c r="Z51" s="152">
        <v>0</v>
      </c>
      <c r="AA51" s="399"/>
      <c r="AB51" s="152">
        <v>0</v>
      </c>
      <c r="AC51" s="240"/>
      <c r="AD51" s="152">
        <v>0</v>
      </c>
      <c r="AE51" s="118">
        <f t="shared" si="18"/>
        <v>7980</v>
      </c>
    </row>
    <row r="52" spans="1:31" ht="9.75" customHeight="1">
      <c r="A52" s="341"/>
      <c r="B52" s="341"/>
      <c r="C52" s="120">
        <v>18</v>
      </c>
      <c r="D52" s="120">
        <v>320</v>
      </c>
      <c r="E52" s="121">
        <v>0.0014</v>
      </c>
      <c r="F52" s="50">
        <f t="shared" si="16"/>
        <v>3.9283709876016655</v>
      </c>
      <c r="G52" s="117">
        <v>3.58</v>
      </c>
      <c r="H52" s="120">
        <v>1967</v>
      </c>
      <c r="I52" s="118">
        <v>7980</v>
      </c>
      <c r="J52" s="98">
        <f t="shared" si="1"/>
        <v>3.0513152996120327</v>
      </c>
      <c r="K52" s="54">
        <f t="shared" si="6"/>
        <v>3.7676854468248697</v>
      </c>
      <c r="L52" s="140">
        <f t="shared" si="17"/>
        <v>3.58</v>
      </c>
      <c r="M52" s="144">
        <v>7839</v>
      </c>
      <c r="N52" s="147">
        <f t="shared" si="2"/>
        <v>3.701113561110295</v>
      </c>
      <c r="O52" s="153"/>
      <c r="P52" s="152">
        <v>0</v>
      </c>
      <c r="Q52" s="153"/>
      <c r="R52" s="152">
        <v>0</v>
      </c>
      <c r="S52" s="153">
        <v>73</v>
      </c>
      <c r="T52" s="159">
        <f t="shared" si="10"/>
        <v>0.03446629544087913</v>
      </c>
      <c r="U52" s="153">
        <v>68</v>
      </c>
      <c r="V52" s="159">
        <f t="shared" si="15"/>
        <v>0.03210559027369563</v>
      </c>
      <c r="W52" s="153"/>
      <c r="X52" s="152">
        <v>0</v>
      </c>
      <c r="Y52" s="156"/>
      <c r="Z52" s="152">
        <v>0</v>
      </c>
      <c r="AA52" s="399"/>
      <c r="AB52" s="152">
        <v>0</v>
      </c>
      <c r="AC52" s="240"/>
      <c r="AD52" s="152">
        <v>0</v>
      </c>
      <c r="AE52" s="118">
        <f t="shared" si="18"/>
        <v>7980</v>
      </c>
    </row>
    <row r="53" spans="1:31" ht="9.75" customHeight="1">
      <c r="A53" s="341"/>
      <c r="B53" s="341"/>
      <c r="C53" s="120">
        <v>18</v>
      </c>
      <c r="D53" s="120">
        <v>400</v>
      </c>
      <c r="E53" s="121">
        <v>0.0014</v>
      </c>
      <c r="F53" s="50">
        <f t="shared" si="16"/>
        <v>3.9283709876016655</v>
      </c>
      <c r="G53" s="117">
        <v>3.58</v>
      </c>
      <c r="H53" s="120">
        <v>1967</v>
      </c>
      <c r="I53" s="118">
        <v>7980</v>
      </c>
      <c r="J53" s="98">
        <f t="shared" si="1"/>
        <v>3.0513152996120327</v>
      </c>
      <c r="K53" s="54">
        <f t="shared" si="6"/>
        <v>3.7676854468248697</v>
      </c>
      <c r="L53" s="140">
        <f t="shared" si="17"/>
        <v>3.58</v>
      </c>
      <c r="M53" s="144">
        <v>7839</v>
      </c>
      <c r="N53" s="147">
        <f t="shared" si="2"/>
        <v>3.701113561110295</v>
      </c>
      <c r="O53" s="153"/>
      <c r="P53" s="152">
        <v>0</v>
      </c>
      <c r="Q53" s="153"/>
      <c r="R53" s="152">
        <v>0</v>
      </c>
      <c r="S53" s="153">
        <v>73</v>
      </c>
      <c r="T53" s="159">
        <f t="shared" si="10"/>
        <v>0.03446629544087913</v>
      </c>
      <c r="U53" s="153">
        <v>68</v>
      </c>
      <c r="V53" s="159">
        <f t="shared" si="15"/>
        <v>0.03210559027369563</v>
      </c>
      <c r="W53" s="153"/>
      <c r="X53" s="152">
        <v>0</v>
      </c>
      <c r="Y53" s="153"/>
      <c r="Z53" s="152">
        <v>0</v>
      </c>
      <c r="AA53" s="399"/>
      <c r="AB53" s="152">
        <v>0</v>
      </c>
      <c r="AC53" s="240"/>
      <c r="AD53" s="152">
        <v>0</v>
      </c>
      <c r="AE53" s="118">
        <f t="shared" si="18"/>
        <v>7980</v>
      </c>
    </row>
    <row r="54" spans="1:31" ht="9.75" customHeight="1">
      <c r="A54" s="341"/>
      <c r="B54" s="341"/>
      <c r="C54" s="120">
        <v>18</v>
      </c>
      <c r="D54" s="120">
        <v>400</v>
      </c>
      <c r="E54" s="121">
        <v>0.0014</v>
      </c>
      <c r="F54" s="50">
        <f t="shared" si="16"/>
        <v>3.9283709876016655</v>
      </c>
      <c r="G54" s="117">
        <v>3.58</v>
      </c>
      <c r="H54" s="120">
        <v>1967</v>
      </c>
      <c r="I54" s="118">
        <v>7980</v>
      </c>
      <c r="J54" s="98">
        <f t="shared" si="1"/>
        <v>3.0513152996120327</v>
      </c>
      <c r="K54" s="54">
        <f t="shared" si="6"/>
        <v>3.7676854468248697</v>
      </c>
      <c r="L54" s="140">
        <f t="shared" si="17"/>
        <v>3.58</v>
      </c>
      <c r="M54" s="144">
        <v>7839</v>
      </c>
      <c r="N54" s="147">
        <f t="shared" si="2"/>
        <v>3.701113561110295</v>
      </c>
      <c r="O54" s="153"/>
      <c r="P54" s="152">
        <v>0</v>
      </c>
      <c r="Q54" s="156"/>
      <c r="R54" s="152">
        <v>0</v>
      </c>
      <c r="S54" s="153">
        <v>73</v>
      </c>
      <c r="T54" s="159">
        <f t="shared" si="10"/>
        <v>0.03446629544087913</v>
      </c>
      <c r="U54" s="153">
        <v>68</v>
      </c>
      <c r="V54" s="159">
        <f t="shared" si="15"/>
        <v>0.03210559027369563</v>
      </c>
      <c r="W54" s="156"/>
      <c r="X54" s="152">
        <v>0</v>
      </c>
      <c r="Y54" s="153"/>
      <c r="Z54" s="152">
        <v>0</v>
      </c>
      <c r="AA54" s="399"/>
      <c r="AB54" s="152">
        <v>0</v>
      </c>
      <c r="AC54" s="240"/>
      <c r="AD54" s="152">
        <v>0</v>
      </c>
      <c r="AE54" s="118">
        <f t="shared" si="18"/>
        <v>7980</v>
      </c>
    </row>
    <row r="55" spans="1:31" ht="9.75" customHeight="1">
      <c r="A55" s="341"/>
      <c r="B55" s="341"/>
      <c r="C55" s="120">
        <v>18</v>
      </c>
      <c r="D55" s="120">
        <v>400</v>
      </c>
      <c r="E55" s="121">
        <v>0.0014</v>
      </c>
      <c r="F55" s="50">
        <f t="shared" si="16"/>
        <v>3.9283709876016655</v>
      </c>
      <c r="G55" s="117">
        <v>3.58</v>
      </c>
      <c r="H55" s="120">
        <v>1967</v>
      </c>
      <c r="I55" s="118">
        <v>7980</v>
      </c>
      <c r="J55" s="98">
        <f t="shared" si="1"/>
        <v>3.0513152996120327</v>
      </c>
      <c r="K55" s="54">
        <f t="shared" si="6"/>
        <v>3.7676854468248697</v>
      </c>
      <c r="L55" s="140">
        <f t="shared" si="17"/>
        <v>3.58</v>
      </c>
      <c r="M55" s="144">
        <v>7839</v>
      </c>
      <c r="N55" s="147">
        <f t="shared" si="2"/>
        <v>3.701113561110295</v>
      </c>
      <c r="O55" s="153"/>
      <c r="P55" s="152">
        <v>0</v>
      </c>
      <c r="Q55" s="153"/>
      <c r="R55" s="152">
        <v>0</v>
      </c>
      <c r="S55" s="153">
        <v>73</v>
      </c>
      <c r="T55" s="159">
        <f t="shared" si="10"/>
        <v>0.03446629544087913</v>
      </c>
      <c r="U55" s="153">
        <v>68</v>
      </c>
      <c r="V55" s="159">
        <f t="shared" si="15"/>
        <v>0.03210559027369563</v>
      </c>
      <c r="W55" s="153"/>
      <c r="X55" s="152">
        <v>0</v>
      </c>
      <c r="Y55" s="153"/>
      <c r="Z55" s="152">
        <v>0</v>
      </c>
      <c r="AA55" s="399"/>
      <c r="AB55" s="152">
        <v>0</v>
      </c>
      <c r="AC55" s="240"/>
      <c r="AD55" s="152">
        <v>0</v>
      </c>
      <c r="AE55" s="118">
        <f t="shared" si="18"/>
        <v>7980</v>
      </c>
    </row>
    <row r="56" spans="1:31" ht="9.75" customHeight="1">
      <c r="A56" s="341"/>
      <c r="B56" s="341"/>
      <c r="C56" s="120"/>
      <c r="D56" s="120"/>
      <c r="E56" s="121"/>
      <c r="F56" s="50"/>
      <c r="G56" s="117"/>
      <c r="H56" s="120"/>
      <c r="I56" s="118"/>
      <c r="J56" s="98"/>
      <c r="K56" s="54"/>
      <c r="L56" s="119"/>
      <c r="M56" s="144"/>
      <c r="N56" s="147"/>
      <c r="O56" s="153"/>
      <c r="P56" s="152"/>
      <c r="Q56" s="153"/>
      <c r="R56" s="152"/>
      <c r="S56" s="153"/>
      <c r="T56" s="159"/>
      <c r="U56" s="153"/>
      <c r="V56" s="159"/>
      <c r="W56" s="153"/>
      <c r="X56" s="152"/>
      <c r="Y56" s="153"/>
      <c r="Z56" s="152"/>
      <c r="AA56" s="399"/>
      <c r="AB56" s="152"/>
      <c r="AC56" s="240"/>
      <c r="AD56" s="152"/>
      <c r="AE56" s="120"/>
    </row>
    <row r="57" spans="2:31" ht="9.75" customHeight="1">
      <c r="B57" s="96" t="s">
        <v>277</v>
      </c>
      <c r="C57" s="120">
        <v>18</v>
      </c>
      <c r="D57" s="120">
        <v>286</v>
      </c>
      <c r="E57" s="121">
        <v>0.0014</v>
      </c>
      <c r="F57" s="50">
        <f>(1.486/0.013)*((3.14*($C57*$C57)/4)/144)*SQRT($E57)*POWER($C57/12/4,2/3)</f>
        <v>3.9283709876016655</v>
      </c>
      <c r="G57" s="117">
        <v>3.58</v>
      </c>
      <c r="H57" s="120">
        <v>1967</v>
      </c>
      <c r="I57" s="118">
        <v>7980</v>
      </c>
      <c r="J57" s="98">
        <f t="shared" si="1"/>
        <v>3.0513152996120327</v>
      </c>
      <c r="K57" s="54">
        <f t="shared" si="6"/>
        <v>3.7676854468248697</v>
      </c>
      <c r="L57" s="140">
        <f>G57</f>
        <v>3.58</v>
      </c>
      <c r="M57" s="144">
        <v>7839</v>
      </c>
      <c r="N57" s="147">
        <f t="shared" si="2"/>
        <v>3.701113561110295</v>
      </c>
      <c r="O57" s="153"/>
      <c r="P57" s="152">
        <v>0</v>
      </c>
      <c r="Q57" s="156"/>
      <c r="R57" s="152">
        <v>0</v>
      </c>
      <c r="S57" s="153">
        <v>73</v>
      </c>
      <c r="T57" s="159">
        <f t="shared" si="10"/>
        <v>0.03446629544087913</v>
      </c>
      <c r="U57" s="153">
        <v>68</v>
      </c>
      <c r="V57" s="159">
        <f t="shared" si="15"/>
        <v>0.03210559027369563</v>
      </c>
      <c r="W57" s="156"/>
      <c r="X57" s="152">
        <v>0</v>
      </c>
      <c r="Y57" s="156"/>
      <c r="Z57" s="152">
        <v>0</v>
      </c>
      <c r="AA57" s="399"/>
      <c r="AB57" s="152">
        <v>0</v>
      </c>
      <c r="AC57" s="240"/>
      <c r="AD57" s="152">
        <v>0</v>
      </c>
      <c r="AE57" s="118">
        <f>M57+O57+Q57+S57+U57+W57+Y57+AA57:AA58+AC57</f>
        <v>7980</v>
      </c>
    </row>
    <row r="58" spans="1:31" ht="9.75" customHeight="1">
      <c r="A58" s="341"/>
      <c r="B58" s="341"/>
      <c r="C58" s="120">
        <v>18</v>
      </c>
      <c r="D58" s="120">
        <v>269</v>
      </c>
      <c r="E58" s="121">
        <v>0.0014</v>
      </c>
      <c r="F58" s="50">
        <f>(1.486/0.013)*((3.14*($C58*$C58)/4)/144)*SQRT($E58)*POWER($C58/12/4,2/3)</f>
        <v>3.9283709876016655</v>
      </c>
      <c r="G58" s="117">
        <v>3.58</v>
      </c>
      <c r="H58" s="120">
        <v>1967</v>
      </c>
      <c r="I58" s="118">
        <v>7980</v>
      </c>
      <c r="J58" s="98">
        <f t="shared" si="1"/>
        <v>3.0513152996120327</v>
      </c>
      <c r="K58" s="54">
        <f t="shared" si="6"/>
        <v>3.7676854468248697</v>
      </c>
      <c r="L58" s="140">
        <f>G58</f>
        <v>3.58</v>
      </c>
      <c r="M58" s="144">
        <v>7839</v>
      </c>
      <c r="N58" s="147">
        <f t="shared" si="2"/>
        <v>3.701113561110295</v>
      </c>
      <c r="O58" s="153"/>
      <c r="P58" s="152">
        <v>0</v>
      </c>
      <c r="Q58" s="156"/>
      <c r="R58" s="152">
        <v>0</v>
      </c>
      <c r="S58" s="153">
        <v>73</v>
      </c>
      <c r="T58" s="159">
        <f t="shared" si="10"/>
        <v>0.03446629544087913</v>
      </c>
      <c r="U58" s="153">
        <v>68</v>
      </c>
      <c r="V58" s="159">
        <f t="shared" si="15"/>
        <v>0.03210559027369563</v>
      </c>
      <c r="W58" s="156"/>
      <c r="X58" s="152">
        <v>0</v>
      </c>
      <c r="Y58" s="153"/>
      <c r="Z58" s="152">
        <v>0</v>
      </c>
      <c r="AA58" s="399"/>
      <c r="AB58" s="152">
        <v>0</v>
      </c>
      <c r="AC58" s="240"/>
      <c r="AD58" s="152">
        <v>0</v>
      </c>
      <c r="AE58" s="118">
        <f>M58+O58+Q58+S58+U58+W58+Y58+AA58:AA59+AC58</f>
        <v>7980</v>
      </c>
    </row>
    <row r="59" spans="1:31" ht="9.75" customHeight="1">
      <c r="A59" s="341"/>
      <c r="B59" s="341"/>
      <c r="C59" s="120">
        <v>18</v>
      </c>
      <c r="D59" s="120">
        <v>340</v>
      </c>
      <c r="E59" s="121">
        <v>0.0014</v>
      </c>
      <c r="F59" s="50">
        <f>(1.486/0.013)*((3.14*($C59*$C59)/4)/144)*SQRT($E59)*POWER($C59/12/4,2/3)</f>
        <v>3.9283709876016655</v>
      </c>
      <c r="G59" s="117">
        <v>3.58</v>
      </c>
      <c r="H59" s="120">
        <v>1967</v>
      </c>
      <c r="I59" s="118">
        <v>7980</v>
      </c>
      <c r="J59" s="98">
        <f t="shared" si="1"/>
        <v>3.0513152996120327</v>
      </c>
      <c r="K59" s="54">
        <f t="shared" si="6"/>
        <v>3.7676854468248697</v>
      </c>
      <c r="L59" s="140">
        <f>G59</f>
        <v>3.58</v>
      </c>
      <c r="M59" s="144">
        <v>7839</v>
      </c>
      <c r="N59" s="147">
        <f t="shared" si="2"/>
        <v>3.701113561110295</v>
      </c>
      <c r="O59" s="153"/>
      <c r="P59" s="152">
        <v>0</v>
      </c>
      <c r="Q59" s="153"/>
      <c r="R59" s="152">
        <v>0</v>
      </c>
      <c r="S59" s="153">
        <v>73</v>
      </c>
      <c r="T59" s="159">
        <f t="shared" si="10"/>
        <v>0.03446629544087913</v>
      </c>
      <c r="U59" s="153">
        <v>68</v>
      </c>
      <c r="V59" s="159">
        <f t="shared" si="15"/>
        <v>0.03210559027369563</v>
      </c>
      <c r="W59" s="156"/>
      <c r="X59" s="152">
        <v>0</v>
      </c>
      <c r="Y59" s="153"/>
      <c r="Z59" s="152">
        <v>0</v>
      </c>
      <c r="AA59" s="399"/>
      <c r="AB59" s="152">
        <v>0</v>
      </c>
      <c r="AC59" s="240"/>
      <c r="AD59" s="152">
        <v>0</v>
      </c>
      <c r="AE59" s="118">
        <f>M59+O59+Q59+S59+U59+W59+Y59+AA59:AA60+AC59</f>
        <v>7980</v>
      </c>
    </row>
    <row r="60" spans="1:31" ht="9.75" customHeight="1">
      <c r="A60" s="341"/>
      <c r="B60" s="341"/>
      <c r="C60" s="120">
        <v>18</v>
      </c>
      <c r="D60" s="120">
        <v>342</v>
      </c>
      <c r="E60" s="121">
        <v>0.0014</v>
      </c>
      <c r="F60" s="50">
        <f>(1.486/0.013)*((3.14*($C60*$C60)/4)/144)*SQRT($E60)*POWER($C60/12/4,2/3)</f>
        <v>3.9283709876016655</v>
      </c>
      <c r="G60" s="117">
        <v>3.58</v>
      </c>
      <c r="H60" s="120">
        <v>1967</v>
      </c>
      <c r="I60" s="118">
        <v>7980</v>
      </c>
      <c r="J60" s="98">
        <f t="shared" si="1"/>
        <v>3.0513152996120327</v>
      </c>
      <c r="K60" s="54">
        <f t="shared" si="6"/>
        <v>3.7676854468248697</v>
      </c>
      <c r="L60" s="140">
        <f>G60</f>
        <v>3.58</v>
      </c>
      <c r="M60" s="144">
        <v>7839</v>
      </c>
      <c r="N60" s="147">
        <f t="shared" si="2"/>
        <v>3.701113561110295</v>
      </c>
      <c r="O60" s="153"/>
      <c r="P60" s="152">
        <v>0</v>
      </c>
      <c r="Q60" s="153"/>
      <c r="R60" s="152">
        <v>0</v>
      </c>
      <c r="S60" s="153">
        <v>73</v>
      </c>
      <c r="T60" s="159">
        <f t="shared" si="10"/>
        <v>0.03446629544087913</v>
      </c>
      <c r="U60" s="153">
        <v>66</v>
      </c>
      <c r="V60" s="159">
        <f t="shared" si="15"/>
        <v>0.03116130820682223</v>
      </c>
      <c r="W60" s="156"/>
      <c r="X60" s="152">
        <v>0</v>
      </c>
      <c r="Y60" s="153"/>
      <c r="Z60" s="152">
        <v>0</v>
      </c>
      <c r="AA60" s="399"/>
      <c r="AB60" s="152">
        <v>0</v>
      </c>
      <c r="AC60" s="240"/>
      <c r="AD60" s="152">
        <v>0</v>
      </c>
      <c r="AE60" s="118">
        <f>M60+O60+Q60+S60+U60+W60+Y60+AA60:AA61+AC60</f>
        <v>7978</v>
      </c>
    </row>
    <row r="61" spans="1:31" ht="9.75" customHeight="1">
      <c r="A61" s="400"/>
      <c r="B61" s="400"/>
      <c r="C61" s="124">
        <v>18</v>
      </c>
      <c r="D61" s="124">
        <v>342</v>
      </c>
      <c r="E61" s="125">
        <v>0.0014</v>
      </c>
      <c r="F61" s="58">
        <f>(1.486/0.013)*((3.14*($C61*$C61)/4)/144)*SQRT($E61)*POWER($C61/12/4,2/3)</f>
        <v>3.9283709876016655</v>
      </c>
      <c r="G61" s="130">
        <v>3.58</v>
      </c>
      <c r="H61" s="124">
        <v>1967</v>
      </c>
      <c r="I61" s="132">
        <v>7980</v>
      </c>
      <c r="J61" s="100">
        <f t="shared" si="1"/>
        <v>3.0513152996120327</v>
      </c>
      <c r="K61" s="61">
        <f t="shared" si="6"/>
        <v>3.7676854468248697</v>
      </c>
      <c r="L61" s="141">
        <f>G61</f>
        <v>3.58</v>
      </c>
      <c r="M61" s="145">
        <v>7839</v>
      </c>
      <c r="N61" s="148">
        <f t="shared" si="2"/>
        <v>3.701113561110295</v>
      </c>
      <c r="O61" s="154"/>
      <c r="P61" s="155">
        <v>0</v>
      </c>
      <c r="Q61" s="157"/>
      <c r="R61" s="155">
        <v>0</v>
      </c>
      <c r="S61" s="154">
        <v>73</v>
      </c>
      <c r="T61" s="160">
        <f t="shared" si="10"/>
        <v>0.03446629544087913</v>
      </c>
      <c r="U61" s="154">
        <v>68</v>
      </c>
      <c r="V61" s="160">
        <f t="shared" si="15"/>
        <v>0.03210559027369563</v>
      </c>
      <c r="W61" s="157"/>
      <c r="X61" s="155">
        <v>0</v>
      </c>
      <c r="Y61" s="157"/>
      <c r="Z61" s="155">
        <v>0</v>
      </c>
      <c r="AA61" s="401"/>
      <c r="AB61" s="155">
        <v>0</v>
      </c>
      <c r="AC61" s="402"/>
      <c r="AD61" s="155">
        <v>0</v>
      </c>
      <c r="AE61" s="132">
        <f>M61+O61+Q61+S61+U61+W61+Y61+AA61:AA62+AC61</f>
        <v>7980</v>
      </c>
    </row>
    <row r="62" spans="5:25" ht="9.75" customHeight="1">
      <c r="E62" s="287"/>
      <c r="F62" s="403"/>
      <c r="G62" s="406"/>
      <c r="H62" s="403"/>
      <c r="I62" s="131"/>
      <c r="J62" s="403"/>
      <c r="K62" s="403"/>
      <c r="L62" s="164"/>
      <c r="M62" s="286"/>
      <c r="N62" s="407"/>
      <c r="O62" s="403"/>
      <c r="U62" s="114"/>
      <c r="V62" s="114"/>
      <c r="W62" s="403"/>
      <c r="X62" s="403"/>
      <c r="Y62" s="403"/>
    </row>
    <row r="68" spans="5:22" s="634" customFormat="1" ht="12.75">
      <c r="E68" s="635"/>
      <c r="G68" s="636"/>
      <c r="I68" s="637"/>
      <c r="M68" s="637"/>
      <c r="N68" s="633"/>
      <c r="S68" s="638"/>
      <c r="T68" s="638"/>
      <c r="U68" s="638"/>
      <c r="V68" s="638"/>
    </row>
  </sheetData>
  <sheetProtection/>
  <mergeCells count="9">
    <mergeCell ref="AC7:AD7"/>
    <mergeCell ref="U7:V7"/>
    <mergeCell ref="W7:X7"/>
    <mergeCell ref="Y7:Z7"/>
    <mergeCell ref="AA7:AB7"/>
    <mergeCell ref="O7:P7"/>
    <mergeCell ref="M7:N7"/>
    <mergeCell ref="Q7:R7"/>
    <mergeCell ref="S7:T7"/>
  </mergeCells>
  <printOptions/>
  <pageMargins left="0.47" right="0.3" top="0.3" bottom="0.19" header="0.3" footer="0.19"/>
  <pageSetup fitToHeight="1" fitToWidth="1" horizontalDpi="600" verticalDpi="600" orientation="landscape" scale="84" r:id="rId1"/>
  <headerFooter alignWithMargins="0">
    <oddFooter>&amp;L&amp;8Revised:                             6/1/2012
App. by OSG Tech. Comm.  &amp;CPage 5 of 13 Pages</oddFooter>
  </headerFooter>
  <rowBreaks count="1" manualBreakCount="1">
    <brk id="81" max="255" man="1"/>
  </rowBreaks>
  <colBreaks count="1" manualBreakCount="1">
    <brk id="8" max="65535" man="1"/>
  </colBreaks>
</worksheet>
</file>

<file path=xl/worksheets/sheet13.xml><?xml version="1.0" encoding="utf-8"?>
<worksheet xmlns="http://schemas.openxmlformats.org/spreadsheetml/2006/main" xmlns:r="http://schemas.openxmlformats.org/officeDocument/2006/relationships">
  <sheetPr>
    <pageSetUpPr fitToPage="1"/>
  </sheetPr>
  <dimension ref="A1:AE68"/>
  <sheetViews>
    <sheetView view="pageLayout" zoomScale="0" zoomScaleNormal="85" zoomScaleSheetLayoutView="100" zoomScalePageLayoutView="0" workbookViewId="0" topLeftCell="A1">
      <selection activeCell="G28" sqref="G28"/>
      <selection activeCell="A1" sqref="A1"/>
    </sheetView>
  </sheetViews>
  <sheetFormatPr defaultColWidth="9.140625" defaultRowHeight="12.75"/>
  <cols>
    <col min="1" max="1" width="7.8515625" style="0" customWidth="1"/>
    <col min="2" max="2" width="8.28125" style="0" customWidth="1"/>
    <col min="3" max="4" width="4.7109375" style="0" customWidth="1"/>
    <col min="5" max="5" width="4.7109375" style="246" customWidth="1"/>
    <col min="6" max="8" width="4.7109375" style="0" customWidth="1"/>
    <col min="9" max="9" width="6.7109375" style="0" customWidth="1"/>
    <col min="10" max="13" width="4.7109375" style="0" customWidth="1"/>
    <col min="14" max="14" width="5.421875" style="223" customWidth="1"/>
    <col min="15" max="30" width="4.7109375" style="239" customWidth="1"/>
    <col min="31" max="31" width="8.8515625" style="0" customWidth="1"/>
    <col min="32" max="34" width="4.7109375" style="0" customWidth="1"/>
  </cols>
  <sheetData>
    <row r="1" spans="1:2" ht="14.25">
      <c r="A1" s="88" t="s">
        <v>172</v>
      </c>
      <c r="B1" s="88"/>
    </row>
    <row r="2" spans="1:31" s="225" customFormat="1" ht="14.25">
      <c r="A2" s="166" t="s">
        <v>1</v>
      </c>
      <c r="B2" s="166"/>
      <c r="E2" s="246"/>
      <c r="N2" s="251"/>
      <c r="O2" s="281"/>
      <c r="P2" s="281"/>
      <c r="Q2" s="281"/>
      <c r="R2" s="281"/>
      <c r="S2" s="281"/>
      <c r="T2" s="281"/>
      <c r="U2" s="88"/>
      <c r="V2" s="88"/>
      <c r="W2" s="88"/>
      <c r="X2" s="88"/>
      <c r="Y2" s="88"/>
      <c r="Z2" s="88"/>
      <c r="AA2" s="88"/>
      <c r="AB2" s="88"/>
      <c r="AC2" s="551"/>
      <c r="AD2" s="551"/>
      <c r="AE2" s="551"/>
    </row>
    <row r="3" spans="1:31" s="225" customFormat="1" ht="14.25">
      <c r="A3" s="166" t="s">
        <v>2</v>
      </c>
      <c r="B3" s="166"/>
      <c r="E3" s="246"/>
      <c r="N3" s="251"/>
      <c r="O3" s="281"/>
      <c r="P3" s="281"/>
      <c r="Q3" s="281"/>
      <c r="R3" s="569"/>
      <c r="S3" s="281"/>
      <c r="T3" s="281"/>
      <c r="U3"/>
      <c r="V3"/>
      <c r="W3"/>
      <c r="X3"/>
      <c r="Y3"/>
      <c r="Z3"/>
      <c r="AA3"/>
      <c r="AB3"/>
      <c r="AC3" s="551"/>
      <c r="AD3" s="551"/>
      <c r="AE3" s="551"/>
    </row>
    <row r="4" spans="1:30" s="225" customFormat="1" ht="14.25">
      <c r="A4" s="166" t="s">
        <v>173</v>
      </c>
      <c r="B4" s="166"/>
      <c r="E4" s="246"/>
      <c r="N4" s="251"/>
      <c r="O4" s="281"/>
      <c r="P4" s="281"/>
      <c r="Q4" s="281"/>
      <c r="R4" s="281"/>
      <c r="S4" s="281"/>
      <c r="T4" s="281"/>
      <c r="U4" s="281"/>
      <c r="V4" s="281"/>
      <c r="W4" s="281"/>
      <c r="X4" s="281"/>
      <c r="Y4" s="281"/>
      <c r="Z4" s="281"/>
      <c r="AA4" s="281"/>
      <c r="AB4" s="281"/>
      <c r="AC4" s="281"/>
      <c r="AD4" s="281"/>
    </row>
    <row r="5" spans="1:30" s="225" customFormat="1" ht="12.75">
      <c r="A5" s="69" t="s">
        <v>290</v>
      </c>
      <c r="B5" s="69"/>
      <c r="E5" s="246"/>
      <c r="N5" s="251"/>
      <c r="O5" s="569"/>
      <c r="P5" s="569"/>
      <c r="Q5" s="569"/>
      <c r="R5" s="281"/>
      <c r="S5" s="281"/>
      <c r="T5" s="281"/>
      <c r="U5" s="281"/>
      <c r="V5" s="281"/>
      <c r="W5" s="281"/>
      <c r="X5" s="281"/>
      <c r="Y5" s="281"/>
      <c r="Z5" s="281"/>
      <c r="AA5" s="281"/>
      <c r="AB5" s="281"/>
      <c r="AC5" s="281"/>
      <c r="AD5" s="281"/>
    </row>
    <row r="6" spans="5:30" s="568" customFormat="1" ht="8.25">
      <c r="E6" s="51"/>
      <c r="N6" s="50"/>
      <c r="O6" s="569"/>
      <c r="P6" s="569"/>
      <c r="Q6" s="569"/>
      <c r="R6" s="569"/>
      <c r="S6" s="569"/>
      <c r="T6" s="569"/>
      <c r="U6" s="569"/>
      <c r="V6" s="569"/>
      <c r="W6" s="569"/>
      <c r="X6" s="569"/>
      <c r="Y6" s="569"/>
      <c r="Z6" s="569"/>
      <c r="AA6" s="569"/>
      <c r="AB6" s="569"/>
      <c r="AC6" s="569"/>
      <c r="AD6" s="569"/>
    </row>
    <row r="7" spans="5:31" s="568" customFormat="1" ht="9.75" customHeight="1">
      <c r="E7" s="51"/>
      <c r="F7" s="41"/>
      <c r="G7" s="567" t="s">
        <v>44</v>
      </c>
      <c r="I7" s="568" t="s">
        <v>175</v>
      </c>
      <c r="K7" s="41" t="s">
        <v>291</v>
      </c>
      <c r="L7" s="42" t="s">
        <v>176</v>
      </c>
      <c r="M7" s="567" t="s">
        <v>44</v>
      </c>
      <c r="N7" s="50"/>
      <c r="O7" s="675" t="s">
        <v>66</v>
      </c>
      <c r="P7" s="676"/>
      <c r="Q7" s="675" t="s">
        <v>299</v>
      </c>
      <c r="R7" s="676"/>
      <c r="S7" s="675" t="s">
        <v>51</v>
      </c>
      <c r="T7" s="676"/>
      <c r="U7" s="675" t="s">
        <v>178</v>
      </c>
      <c r="V7" s="676"/>
      <c r="W7" s="675" t="s">
        <v>68</v>
      </c>
      <c r="X7" s="676"/>
      <c r="Y7" s="675" t="s">
        <v>65</v>
      </c>
      <c r="Z7" s="676"/>
      <c r="AA7" s="675" t="s">
        <v>207</v>
      </c>
      <c r="AB7" s="676"/>
      <c r="AC7" s="675" t="s">
        <v>208</v>
      </c>
      <c r="AD7" s="676"/>
      <c r="AE7" s="568" t="s">
        <v>7</v>
      </c>
    </row>
    <row r="8" spans="1:31" s="568" customFormat="1" ht="9.75" customHeight="1">
      <c r="A8" s="568" t="s">
        <v>179</v>
      </c>
      <c r="C8" s="568" t="s">
        <v>180</v>
      </c>
      <c r="D8" s="568" t="s">
        <v>181</v>
      </c>
      <c r="E8" s="51" t="s">
        <v>182</v>
      </c>
      <c r="F8" s="41" t="s">
        <v>183</v>
      </c>
      <c r="G8" s="567" t="s">
        <v>204</v>
      </c>
      <c r="H8" s="568" t="s">
        <v>212</v>
      </c>
      <c r="I8" s="568" t="s">
        <v>184</v>
      </c>
      <c r="J8" s="568" t="s">
        <v>185</v>
      </c>
      <c r="K8" s="41" t="s">
        <v>204</v>
      </c>
      <c r="L8" s="42" t="s">
        <v>199</v>
      </c>
      <c r="M8" s="567" t="s">
        <v>187</v>
      </c>
      <c r="N8" s="50" t="s">
        <v>200</v>
      </c>
      <c r="O8" s="570" t="s">
        <v>186</v>
      </c>
      <c r="P8" s="571" t="s">
        <v>298</v>
      </c>
      <c r="Q8" s="570" t="s">
        <v>186</v>
      </c>
      <c r="R8" s="571" t="s">
        <v>298</v>
      </c>
      <c r="S8" s="570" t="s">
        <v>186</v>
      </c>
      <c r="T8" s="571" t="s">
        <v>298</v>
      </c>
      <c r="U8" s="570" t="s">
        <v>186</v>
      </c>
      <c r="V8" s="571" t="s">
        <v>298</v>
      </c>
      <c r="W8" s="570" t="s">
        <v>186</v>
      </c>
      <c r="X8" s="571" t="s">
        <v>298</v>
      </c>
      <c r="Y8" s="570" t="s">
        <v>186</v>
      </c>
      <c r="Z8" s="571" t="s">
        <v>298</v>
      </c>
      <c r="AA8" s="570" t="s">
        <v>186</v>
      </c>
      <c r="AB8" s="571" t="s">
        <v>298</v>
      </c>
      <c r="AC8" s="570" t="s">
        <v>186</v>
      </c>
      <c r="AD8" s="571" t="s">
        <v>298</v>
      </c>
      <c r="AE8" s="568" t="s">
        <v>186</v>
      </c>
    </row>
    <row r="9" spans="1:31" s="245" customFormat="1" ht="9.75" customHeight="1">
      <c r="A9" s="43" t="s">
        <v>214</v>
      </c>
      <c r="B9" s="43" t="s">
        <v>215</v>
      </c>
      <c r="C9" s="43" t="s">
        <v>292</v>
      </c>
      <c r="D9" s="43" t="s">
        <v>293</v>
      </c>
      <c r="E9" s="52" t="s">
        <v>202</v>
      </c>
      <c r="F9" s="44" t="s">
        <v>191</v>
      </c>
      <c r="G9" s="45" t="s">
        <v>191</v>
      </c>
      <c r="H9" s="43" t="s">
        <v>192</v>
      </c>
      <c r="I9" s="43" t="s">
        <v>294</v>
      </c>
      <c r="J9" s="43" t="s">
        <v>194</v>
      </c>
      <c r="K9" s="44" t="s">
        <v>191</v>
      </c>
      <c r="L9" s="46" t="s">
        <v>191</v>
      </c>
      <c r="M9" s="334"/>
      <c r="N9" s="43" t="s">
        <v>191</v>
      </c>
      <c r="O9" s="408"/>
      <c r="P9" s="71" t="s">
        <v>191</v>
      </c>
      <c r="Q9" s="408"/>
      <c r="R9" s="71" t="s">
        <v>191</v>
      </c>
      <c r="S9" s="408"/>
      <c r="T9" s="71" t="s">
        <v>191</v>
      </c>
      <c r="U9" s="408"/>
      <c r="V9" s="71" t="s">
        <v>191</v>
      </c>
      <c r="W9" s="408"/>
      <c r="X9" s="71" t="s">
        <v>191</v>
      </c>
      <c r="Y9" s="408"/>
      <c r="Z9" s="71" t="s">
        <v>191</v>
      </c>
      <c r="AA9" s="408"/>
      <c r="AB9" s="71" t="s">
        <v>191</v>
      </c>
      <c r="AC9" s="408"/>
      <c r="AD9" s="71" t="s">
        <v>191</v>
      </c>
      <c r="AE9" s="335"/>
    </row>
    <row r="10" spans="1:31" s="245" customFormat="1" ht="9.75" customHeight="1">
      <c r="A10" s="49" t="s">
        <v>297</v>
      </c>
      <c r="B10" s="49" t="s">
        <v>295</v>
      </c>
      <c r="C10" s="49">
        <v>10</v>
      </c>
      <c r="D10" s="49">
        <v>255</v>
      </c>
      <c r="E10" s="53">
        <v>0.0048</v>
      </c>
      <c r="F10" s="116">
        <f aca="true" t="shared" si="0" ref="F10:F16">(1.486/0.013)*((3.14*($C10*$C10)/4)/144)*SQRT($E10)*POWER($C10/12/4,2/3)</f>
        <v>1.5171985380053619</v>
      </c>
      <c r="G10" s="48">
        <v>3.08</v>
      </c>
      <c r="H10" s="49">
        <v>1986</v>
      </c>
      <c r="I10" s="576">
        <v>2730</v>
      </c>
      <c r="J10" s="115">
        <f aca="true" t="shared" si="1" ref="J10:J16">(18+SQRT(I10/1000))/(4+SQRT(I10/1000))</f>
        <v>3.4768804597888754</v>
      </c>
      <c r="K10" s="116">
        <f>I10:I10*100*J10/(7.48*24*60*60)</f>
        <v>1.468713429519402</v>
      </c>
      <c r="L10" s="106">
        <f>F10</f>
        <v>1.5171985380053619</v>
      </c>
      <c r="M10" s="109">
        <v>2730</v>
      </c>
      <c r="N10" s="164">
        <f aca="true" t="shared" si="2" ref="N10:N16">J10*100*M10/(7.48*24*60*60)</f>
        <v>1.468713429519402</v>
      </c>
      <c r="O10" s="409"/>
      <c r="P10" s="133">
        <v>0</v>
      </c>
      <c r="Q10" s="409"/>
      <c r="R10" s="133">
        <v>0</v>
      </c>
      <c r="S10" s="409"/>
      <c r="T10" s="133">
        <v>0</v>
      </c>
      <c r="U10" s="409"/>
      <c r="V10" s="133">
        <v>0</v>
      </c>
      <c r="W10" s="409"/>
      <c r="X10" s="133">
        <v>0</v>
      </c>
      <c r="Y10" s="409"/>
      <c r="Z10" s="133">
        <v>0</v>
      </c>
      <c r="AA10" s="409"/>
      <c r="AB10" s="133">
        <v>0</v>
      </c>
      <c r="AC10" s="410"/>
      <c r="AD10" s="133">
        <v>0</v>
      </c>
      <c r="AE10" s="105">
        <f>SUM(AC10,AA10,Y10+W10+U10+S10+Q10+O10+M10)</f>
        <v>2730</v>
      </c>
    </row>
    <row r="11" spans="3:31" s="245" customFormat="1" ht="9.75" customHeight="1">
      <c r="C11" s="568">
        <v>10</v>
      </c>
      <c r="D11" s="568">
        <v>335</v>
      </c>
      <c r="E11" s="51">
        <v>0.0048</v>
      </c>
      <c r="F11" s="54">
        <f t="shared" si="0"/>
        <v>1.5171985380053619</v>
      </c>
      <c r="G11" s="567">
        <v>3.08</v>
      </c>
      <c r="H11" s="568">
        <v>1986</v>
      </c>
      <c r="I11" s="576">
        <v>2730</v>
      </c>
      <c r="J11" s="98">
        <f t="shared" si="1"/>
        <v>3.4768804597888754</v>
      </c>
      <c r="K11" s="54">
        <f aca="true" t="shared" si="3" ref="K11:K16">I11:I11*100*J11/(7.48*24*60*60)</f>
        <v>1.468713429519402</v>
      </c>
      <c r="L11" s="107">
        <f aca="true" t="shared" si="4" ref="L11:L16">F11</f>
        <v>1.5171985380053619</v>
      </c>
      <c r="M11" s="575">
        <v>2730</v>
      </c>
      <c r="N11" s="142">
        <f t="shared" si="2"/>
        <v>1.468713429519402</v>
      </c>
      <c r="O11" s="411"/>
      <c r="P11" s="571">
        <v>0</v>
      </c>
      <c r="Q11" s="570"/>
      <c r="R11" s="571">
        <v>0</v>
      </c>
      <c r="S11" s="570"/>
      <c r="T11" s="571">
        <v>0</v>
      </c>
      <c r="U11" s="411"/>
      <c r="V11" s="571">
        <v>0</v>
      </c>
      <c r="W11" s="411"/>
      <c r="X11" s="571">
        <v>0</v>
      </c>
      <c r="Y11" s="411"/>
      <c r="Z11" s="571">
        <v>0</v>
      </c>
      <c r="AA11" s="411"/>
      <c r="AB11" s="571">
        <v>0</v>
      </c>
      <c r="AC11" s="411"/>
      <c r="AD11" s="571">
        <v>0</v>
      </c>
      <c r="AE11" s="576">
        <f aca="true" t="shared" si="5" ref="AE11:AE16">SUM(AC11,AA11,Y11+W11+U11+S11+Q11+O11+M11)</f>
        <v>2730</v>
      </c>
    </row>
    <row r="12" spans="3:31" s="245" customFormat="1" ht="9.75" customHeight="1">
      <c r="C12" s="568">
        <v>10</v>
      </c>
      <c r="D12" s="568">
        <v>335</v>
      </c>
      <c r="E12" s="51">
        <v>0.0048</v>
      </c>
      <c r="F12" s="54">
        <f t="shared" si="0"/>
        <v>1.5171985380053619</v>
      </c>
      <c r="G12" s="567">
        <v>3.08</v>
      </c>
      <c r="H12" s="568">
        <v>1986</v>
      </c>
      <c r="I12" s="576">
        <v>2730</v>
      </c>
      <c r="J12" s="98">
        <f t="shared" si="1"/>
        <v>3.4768804597888754</v>
      </c>
      <c r="K12" s="54">
        <f t="shared" si="3"/>
        <v>1.468713429519402</v>
      </c>
      <c r="L12" s="107">
        <f t="shared" si="4"/>
        <v>1.5171985380053619</v>
      </c>
      <c r="M12" s="575">
        <v>2730</v>
      </c>
      <c r="N12" s="142">
        <f t="shared" si="2"/>
        <v>1.468713429519402</v>
      </c>
      <c r="O12" s="411"/>
      <c r="P12" s="571">
        <v>0</v>
      </c>
      <c r="Q12" s="411"/>
      <c r="R12" s="571">
        <v>0</v>
      </c>
      <c r="S12" s="570"/>
      <c r="T12" s="571">
        <v>0</v>
      </c>
      <c r="U12" s="411"/>
      <c r="V12" s="571">
        <v>0</v>
      </c>
      <c r="W12" s="411"/>
      <c r="X12" s="571">
        <v>0</v>
      </c>
      <c r="Y12" s="411"/>
      <c r="Z12" s="571">
        <v>0</v>
      </c>
      <c r="AA12" s="411"/>
      <c r="AB12" s="571">
        <v>0</v>
      </c>
      <c r="AC12" s="411"/>
      <c r="AD12" s="571">
        <v>0</v>
      </c>
      <c r="AE12" s="576">
        <f t="shared" si="5"/>
        <v>2730</v>
      </c>
    </row>
    <row r="13" spans="3:31" s="245" customFormat="1" ht="9.75" customHeight="1">
      <c r="C13" s="568">
        <v>10</v>
      </c>
      <c r="D13" s="568">
        <v>349</v>
      </c>
      <c r="E13" s="51">
        <v>0.0048</v>
      </c>
      <c r="F13" s="54">
        <f t="shared" si="0"/>
        <v>1.5171985380053619</v>
      </c>
      <c r="G13" s="567">
        <v>3.08</v>
      </c>
      <c r="H13" s="568">
        <v>1986</v>
      </c>
      <c r="I13" s="576">
        <v>2730</v>
      </c>
      <c r="J13" s="98">
        <f t="shared" si="1"/>
        <v>3.4768804597888754</v>
      </c>
      <c r="K13" s="54">
        <f t="shared" si="3"/>
        <v>1.468713429519402</v>
      </c>
      <c r="L13" s="102">
        <f t="shared" si="4"/>
        <v>1.5171985380053619</v>
      </c>
      <c r="M13" s="575">
        <v>2730</v>
      </c>
      <c r="N13" s="142">
        <f t="shared" si="2"/>
        <v>1.468713429519402</v>
      </c>
      <c r="O13" s="411"/>
      <c r="P13" s="569">
        <v>0</v>
      </c>
      <c r="Q13" s="411"/>
      <c r="R13" s="571">
        <v>0</v>
      </c>
      <c r="S13" s="411"/>
      <c r="T13" s="571">
        <v>0</v>
      </c>
      <c r="U13" s="411"/>
      <c r="V13" s="571">
        <v>0</v>
      </c>
      <c r="W13" s="411"/>
      <c r="X13" s="571">
        <v>0</v>
      </c>
      <c r="Y13" s="411"/>
      <c r="Z13" s="571">
        <v>0</v>
      </c>
      <c r="AA13" s="411"/>
      <c r="AB13" s="571">
        <v>0</v>
      </c>
      <c r="AC13" s="411"/>
      <c r="AD13" s="571">
        <v>0</v>
      </c>
      <c r="AE13" s="576">
        <f t="shared" si="5"/>
        <v>2730</v>
      </c>
    </row>
    <row r="14" spans="1:31" s="245" customFormat="1" ht="9.75" customHeight="1">
      <c r="A14" s="568" t="s">
        <v>296</v>
      </c>
      <c r="B14" s="568" t="s">
        <v>297</v>
      </c>
      <c r="C14" s="568">
        <v>12</v>
      </c>
      <c r="D14" s="568">
        <v>321</v>
      </c>
      <c r="E14" s="51">
        <v>0.0075</v>
      </c>
      <c r="F14" s="54">
        <f t="shared" si="0"/>
        <v>3.0839151324139236</v>
      </c>
      <c r="G14" s="567">
        <v>3.08</v>
      </c>
      <c r="H14" s="568">
        <v>1990</v>
      </c>
      <c r="I14" s="576">
        <v>2730</v>
      </c>
      <c r="J14" s="98">
        <f t="shared" si="1"/>
        <v>3.4768804597888754</v>
      </c>
      <c r="K14" s="54">
        <f t="shared" si="3"/>
        <v>1.468713429519402</v>
      </c>
      <c r="L14" s="102">
        <f t="shared" si="4"/>
        <v>3.0839151324139236</v>
      </c>
      <c r="M14" s="575">
        <v>2730</v>
      </c>
      <c r="N14" s="142">
        <f t="shared" si="2"/>
        <v>1.468713429519402</v>
      </c>
      <c r="O14" s="411"/>
      <c r="P14" s="569">
        <v>0</v>
      </c>
      <c r="Q14" s="173"/>
      <c r="R14" s="571">
        <v>0</v>
      </c>
      <c r="S14" s="570"/>
      <c r="T14" s="571">
        <v>0</v>
      </c>
      <c r="U14" s="411"/>
      <c r="V14" s="571">
        <v>0</v>
      </c>
      <c r="W14" s="411"/>
      <c r="X14" s="571">
        <v>0</v>
      </c>
      <c r="Y14" s="411"/>
      <c r="Z14" s="571">
        <v>0</v>
      </c>
      <c r="AA14" s="411"/>
      <c r="AB14" s="571">
        <v>0</v>
      </c>
      <c r="AC14" s="411"/>
      <c r="AD14" s="571">
        <v>0</v>
      </c>
      <c r="AE14" s="576">
        <f t="shared" si="5"/>
        <v>2730</v>
      </c>
    </row>
    <row r="15" spans="1:31" s="629" customFormat="1" ht="9.75" customHeight="1">
      <c r="A15" s="245"/>
      <c r="B15" s="245"/>
      <c r="C15" s="568">
        <v>12</v>
      </c>
      <c r="D15" s="568">
        <v>220</v>
      </c>
      <c r="E15" s="51">
        <v>0.0088</v>
      </c>
      <c r="F15" s="54">
        <f t="shared" si="0"/>
        <v>3.340512662982494</v>
      </c>
      <c r="G15" s="567">
        <v>3.08</v>
      </c>
      <c r="H15" s="568">
        <v>1990</v>
      </c>
      <c r="I15" s="576">
        <v>2730</v>
      </c>
      <c r="J15" s="98">
        <f t="shared" si="1"/>
        <v>3.4768804597888754</v>
      </c>
      <c r="K15" s="54">
        <f t="shared" si="3"/>
        <v>1.468713429519402</v>
      </c>
      <c r="L15" s="102">
        <f t="shared" si="4"/>
        <v>3.340512662982494</v>
      </c>
      <c r="M15" s="575">
        <v>2730</v>
      </c>
      <c r="N15" s="142">
        <f t="shared" si="2"/>
        <v>1.468713429519402</v>
      </c>
      <c r="O15" s="411"/>
      <c r="P15" s="569">
        <v>0</v>
      </c>
      <c r="Q15" s="173"/>
      <c r="R15" s="571">
        <v>0</v>
      </c>
      <c r="S15" s="411"/>
      <c r="T15" s="571">
        <v>0</v>
      </c>
      <c r="U15" s="411"/>
      <c r="V15" s="571">
        <v>0</v>
      </c>
      <c r="W15" s="411"/>
      <c r="X15" s="571">
        <v>0</v>
      </c>
      <c r="Y15" s="411"/>
      <c r="Z15" s="571">
        <v>0</v>
      </c>
      <c r="AA15" s="411"/>
      <c r="AB15" s="571">
        <v>0</v>
      </c>
      <c r="AC15" s="411"/>
      <c r="AD15" s="571">
        <v>0</v>
      </c>
      <c r="AE15" s="576">
        <f t="shared" si="5"/>
        <v>2730</v>
      </c>
    </row>
    <row r="16" spans="1:31" s="629" customFormat="1" ht="9.75" customHeight="1">
      <c r="A16" s="335"/>
      <c r="B16" s="335"/>
      <c r="C16" s="43">
        <v>12</v>
      </c>
      <c r="D16" s="43">
        <v>40</v>
      </c>
      <c r="E16" s="52">
        <v>0.0088</v>
      </c>
      <c r="F16" s="61">
        <f t="shared" si="0"/>
        <v>3.340512662982494</v>
      </c>
      <c r="G16" s="45">
        <v>3.08</v>
      </c>
      <c r="H16" s="43">
        <v>1990</v>
      </c>
      <c r="I16" s="55">
        <v>2730</v>
      </c>
      <c r="J16" s="100">
        <f t="shared" si="1"/>
        <v>3.4768804597888754</v>
      </c>
      <c r="K16" s="61">
        <f t="shared" si="3"/>
        <v>1.468713429519402</v>
      </c>
      <c r="L16" s="103">
        <f t="shared" si="4"/>
        <v>3.340512662982494</v>
      </c>
      <c r="M16" s="101">
        <v>2730</v>
      </c>
      <c r="N16" s="165">
        <f t="shared" si="2"/>
        <v>1.468713429519402</v>
      </c>
      <c r="O16" s="412"/>
      <c r="P16" s="67">
        <v>0</v>
      </c>
      <c r="Q16" s="413"/>
      <c r="R16" s="71">
        <v>0</v>
      </c>
      <c r="S16" s="412"/>
      <c r="T16" s="71">
        <v>0</v>
      </c>
      <c r="U16" s="412"/>
      <c r="V16" s="71">
        <v>0</v>
      </c>
      <c r="W16" s="412"/>
      <c r="X16" s="71">
        <v>0</v>
      </c>
      <c r="Y16" s="412"/>
      <c r="Z16" s="71">
        <v>0</v>
      </c>
      <c r="AA16" s="412"/>
      <c r="AB16" s="71">
        <v>0</v>
      </c>
      <c r="AC16" s="412"/>
      <c r="AD16" s="71">
        <v>0</v>
      </c>
      <c r="AE16" s="55">
        <f t="shared" si="5"/>
        <v>2730</v>
      </c>
    </row>
    <row r="17" spans="1:31" s="629" customFormat="1" ht="9.75" customHeight="1">
      <c r="A17" s="245"/>
      <c r="B17" s="245"/>
      <c r="C17" s="245"/>
      <c r="D17" s="245"/>
      <c r="E17" s="246"/>
      <c r="F17" s="245"/>
      <c r="G17" s="245"/>
      <c r="H17" s="245"/>
      <c r="I17" s="245"/>
      <c r="J17" s="245"/>
      <c r="K17" s="245"/>
      <c r="L17" s="245"/>
      <c r="M17" s="576"/>
      <c r="N17" s="247"/>
      <c r="O17" s="249"/>
      <c r="P17" s="249"/>
      <c r="Q17" s="576"/>
      <c r="R17" s="249"/>
      <c r="S17" s="249"/>
      <c r="T17" s="249"/>
      <c r="U17" s="249"/>
      <c r="V17" s="249"/>
      <c r="W17" s="249"/>
      <c r="X17" s="249"/>
      <c r="Y17" s="249"/>
      <c r="Z17" s="249"/>
      <c r="AA17" s="249"/>
      <c r="AB17" s="249"/>
      <c r="AC17" s="249"/>
      <c r="AD17" s="249"/>
      <c r="AE17" s="245"/>
    </row>
    <row r="18" spans="13:17" ht="12.75">
      <c r="M18" s="576"/>
      <c r="Q18" s="576"/>
    </row>
    <row r="22" spans="5:18" ht="12.75">
      <c r="E22" s="630"/>
      <c r="F22" s="589"/>
      <c r="G22" s="589"/>
      <c r="H22" s="589"/>
      <c r="I22" s="589"/>
      <c r="J22" s="589"/>
      <c r="K22" s="589"/>
      <c r="L22" s="589"/>
      <c r="M22" s="589"/>
      <c r="N22" s="625"/>
      <c r="O22" s="627"/>
      <c r="P22" s="627"/>
      <c r="Q22" s="627"/>
      <c r="R22" s="627"/>
    </row>
    <row r="23" spans="5:18" ht="12.75">
      <c r="E23" s="630"/>
      <c r="F23" s="589"/>
      <c r="G23" s="589"/>
      <c r="H23" s="589"/>
      <c r="I23" s="589"/>
      <c r="J23" s="589"/>
      <c r="K23" s="589"/>
      <c r="L23" s="589"/>
      <c r="M23" s="589"/>
      <c r="N23" s="625"/>
      <c r="O23" s="627"/>
      <c r="P23" s="627"/>
      <c r="Q23" s="627"/>
      <c r="R23" s="627"/>
    </row>
    <row r="24" spans="5:18" ht="12.75">
      <c r="E24" s="630"/>
      <c r="F24" s="589"/>
      <c r="G24" s="589"/>
      <c r="H24" s="589"/>
      <c r="I24" s="589"/>
      <c r="J24" s="589"/>
      <c r="K24" s="589"/>
      <c r="L24" s="589"/>
      <c r="M24" s="589"/>
      <c r="N24" s="625"/>
      <c r="O24" s="627"/>
      <c r="P24" s="627"/>
      <c r="Q24" s="627"/>
      <c r="R24" s="627"/>
    </row>
    <row r="25" spans="11:18" ht="12.75">
      <c r="K25" s="589"/>
      <c r="L25" s="589"/>
      <c r="M25" s="589"/>
      <c r="N25" s="625"/>
      <c r="O25" s="627"/>
      <c r="P25" s="627"/>
      <c r="Q25" s="627"/>
      <c r="R25" s="627"/>
    </row>
    <row r="26" spans="5:18" ht="12.75">
      <c r="E26" s="630"/>
      <c r="F26" s="589"/>
      <c r="K26" s="589"/>
      <c r="L26" s="589"/>
      <c r="M26" s="589"/>
      <c r="N26" s="625"/>
      <c r="O26" s="627"/>
      <c r="P26" s="627"/>
      <c r="Q26" s="627"/>
      <c r="R26" s="627"/>
    </row>
    <row r="27" spans="13:18" ht="12.75">
      <c r="M27" s="589"/>
      <c r="N27" s="625"/>
      <c r="Q27" s="627"/>
      <c r="R27" s="627"/>
    </row>
    <row r="28" spans="5:20" ht="12.75">
      <c r="E28" s="630"/>
      <c r="K28" s="589"/>
      <c r="L28" s="589"/>
      <c r="M28" s="589"/>
      <c r="N28" s="625"/>
      <c r="O28" s="627"/>
      <c r="P28" s="627"/>
      <c r="Q28" s="627"/>
      <c r="R28" s="627"/>
      <c r="T28" s="239" t="s">
        <v>498</v>
      </c>
    </row>
    <row r="41" spans="5:30" s="589" customFormat="1" ht="12.75">
      <c r="E41" s="630"/>
      <c r="N41" s="625"/>
      <c r="O41" s="627"/>
      <c r="P41" s="627"/>
      <c r="Q41" s="627"/>
      <c r="R41" s="627"/>
      <c r="S41" s="627"/>
      <c r="T41" s="627"/>
      <c r="U41" s="627"/>
      <c r="V41" s="627"/>
      <c r="W41" s="627"/>
      <c r="X41" s="627"/>
      <c r="Y41" s="627"/>
      <c r="Z41" s="627"/>
      <c r="AA41" s="627"/>
      <c r="AB41" s="627"/>
      <c r="AC41" s="627"/>
      <c r="AD41" s="627"/>
    </row>
    <row r="42" spans="5:30" s="589" customFormat="1" ht="12.75">
      <c r="E42" s="630"/>
      <c r="N42" s="625"/>
      <c r="O42" s="627"/>
      <c r="P42" s="627"/>
      <c r="Q42" s="627"/>
      <c r="R42" s="627"/>
      <c r="S42" s="627"/>
      <c r="T42" s="627"/>
      <c r="U42" s="627"/>
      <c r="V42" s="627"/>
      <c r="W42" s="627"/>
      <c r="X42" s="627"/>
      <c r="Y42" s="627"/>
      <c r="Z42" s="627"/>
      <c r="AA42" s="627"/>
      <c r="AB42" s="627"/>
      <c r="AC42" s="627"/>
      <c r="AD42" s="627"/>
    </row>
    <row r="43" spans="5:30" s="589" customFormat="1" ht="12.75">
      <c r="E43" s="630"/>
      <c r="N43" s="625"/>
      <c r="O43" s="627"/>
      <c r="P43" s="627"/>
      <c r="Q43" s="627"/>
      <c r="R43" s="627"/>
      <c r="S43" s="627"/>
      <c r="T43" s="627"/>
      <c r="U43" s="627"/>
      <c r="V43" s="627"/>
      <c r="W43" s="627"/>
      <c r="X43" s="627"/>
      <c r="Y43" s="627"/>
      <c r="Z43" s="627"/>
      <c r="AA43" s="627"/>
      <c r="AB43" s="627"/>
      <c r="AC43" s="627"/>
      <c r="AD43" s="627"/>
    </row>
    <row r="45" spans="5:30" s="589" customFormat="1" ht="12.75">
      <c r="E45" s="630"/>
      <c r="N45" s="625"/>
      <c r="O45" s="627"/>
      <c r="P45" s="627"/>
      <c r="Q45" s="627"/>
      <c r="R45" s="627"/>
      <c r="S45" s="627"/>
      <c r="T45" s="627"/>
      <c r="U45" s="627"/>
      <c r="V45" s="627"/>
      <c r="W45" s="627"/>
      <c r="X45" s="627"/>
      <c r="Y45" s="627"/>
      <c r="Z45" s="627"/>
      <c r="AA45" s="627"/>
      <c r="AB45" s="627"/>
      <c r="AC45" s="627"/>
      <c r="AD45" s="627"/>
    </row>
    <row r="46" spans="5:30" s="589" customFormat="1" ht="12.75">
      <c r="E46" s="630"/>
      <c r="N46" s="625"/>
      <c r="O46" s="627"/>
      <c r="P46" s="627"/>
      <c r="Q46" s="627"/>
      <c r="R46" s="627"/>
      <c r="S46" s="627"/>
      <c r="T46" s="627"/>
      <c r="U46" s="627"/>
      <c r="V46" s="627"/>
      <c r="W46" s="627"/>
      <c r="X46" s="627"/>
      <c r="Y46" s="627"/>
      <c r="Z46" s="627"/>
      <c r="AA46" s="627"/>
      <c r="AB46" s="627"/>
      <c r="AC46" s="627"/>
      <c r="AD46" s="627"/>
    </row>
    <row r="47" spans="5:30" s="589" customFormat="1" ht="12.75">
      <c r="E47" s="630"/>
      <c r="N47" s="625"/>
      <c r="O47" s="627"/>
      <c r="P47" s="627"/>
      <c r="Q47" s="627"/>
      <c r="R47" s="627"/>
      <c r="S47" s="627"/>
      <c r="T47" s="627"/>
      <c r="U47" s="627"/>
      <c r="V47" s="627"/>
      <c r="W47" s="627"/>
      <c r="X47" s="627"/>
      <c r="Y47" s="627"/>
      <c r="Z47" s="627"/>
      <c r="AA47" s="627"/>
      <c r="AB47" s="627"/>
      <c r="AC47" s="627"/>
      <c r="AD47" s="627"/>
    </row>
    <row r="48" spans="5:30" s="589" customFormat="1" ht="12.75">
      <c r="E48" s="630"/>
      <c r="N48" s="625"/>
      <c r="O48" s="627"/>
      <c r="P48" s="627"/>
      <c r="Q48" s="627"/>
      <c r="R48" s="627"/>
      <c r="S48" s="627"/>
      <c r="T48" s="627"/>
      <c r="U48" s="627"/>
      <c r="V48" s="627"/>
      <c r="W48" s="627"/>
      <c r="X48" s="627"/>
      <c r="Y48" s="627"/>
      <c r="Z48" s="627"/>
      <c r="AA48" s="627"/>
      <c r="AB48" s="627"/>
      <c r="AC48" s="627"/>
      <c r="AD48" s="627"/>
    </row>
    <row r="68" spans="5:30" s="589" customFormat="1" ht="12.75">
      <c r="E68" s="630"/>
      <c r="N68" s="625"/>
      <c r="O68" s="627"/>
      <c r="P68" s="627"/>
      <c r="Q68" s="627"/>
      <c r="R68" s="627"/>
      <c r="S68" s="627"/>
      <c r="T68" s="627"/>
      <c r="U68" s="627"/>
      <c r="V68" s="627"/>
      <c r="W68" s="627"/>
      <c r="X68" s="627"/>
      <c r="Y68" s="627"/>
      <c r="Z68" s="627"/>
      <c r="AA68" s="627"/>
      <c r="AB68" s="627"/>
      <c r="AC68" s="627"/>
      <c r="AD68" s="627"/>
    </row>
  </sheetData>
  <sheetProtection/>
  <mergeCells count="8">
    <mergeCell ref="Y7:Z7"/>
    <mergeCell ref="AA7:AB7"/>
    <mergeCell ref="AC7:AD7"/>
    <mergeCell ref="O7:P7"/>
    <mergeCell ref="Q7:R7"/>
    <mergeCell ref="S7:T7"/>
    <mergeCell ref="U7:V7"/>
    <mergeCell ref="W7:X7"/>
  </mergeCells>
  <printOptions/>
  <pageMargins left="0.47" right="0.48" top="0.75" bottom="0.75" header="0.3" footer="0.3"/>
  <pageSetup fitToHeight="1" fitToWidth="1" horizontalDpi="600" verticalDpi="600" orientation="landscape" scale="81" r:id="rId1"/>
  <headerFooter alignWithMargins="0">
    <oddFooter>&amp;L&amp;8Revised:                             6/1/2012
App. by OSG Tech. Comm.  &amp;CPage 6 of 13 Pages</oddFooter>
  </headerFooter>
  <rowBreaks count="1" manualBreakCount="1">
    <brk id="81" max="255" man="1"/>
  </rowBreaks>
  <colBreaks count="1" manualBreakCount="1">
    <brk id="8" max="65535" man="1"/>
  </colBreaks>
</worksheet>
</file>

<file path=xl/worksheets/sheet14.xml><?xml version="1.0" encoding="utf-8"?>
<worksheet xmlns="http://schemas.openxmlformats.org/spreadsheetml/2006/main" xmlns:r="http://schemas.openxmlformats.org/officeDocument/2006/relationships">
  <sheetPr>
    <pageSetUpPr fitToPage="1"/>
  </sheetPr>
  <dimension ref="A1:AE68"/>
  <sheetViews>
    <sheetView view="pageLayout" zoomScale="0" zoomScaleSheetLayoutView="103" zoomScalePageLayoutView="0" workbookViewId="0" topLeftCell="A1">
      <selection activeCell="G28" sqref="G28"/>
      <selection activeCell="A1" sqref="A1"/>
    </sheetView>
  </sheetViews>
  <sheetFormatPr defaultColWidth="9.140625" defaultRowHeight="12.75"/>
  <cols>
    <col min="1" max="1" width="5.7109375" style="0" customWidth="1"/>
    <col min="2" max="2" width="6.8515625" style="0" customWidth="1"/>
    <col min="3" max="4" width="4.7109375" style="0" customWidth="1"/>
    <col min="5" max="5" width="4.7109375" style="244" customWidth="1"/>
    <col min="6" max="8" width="4.7109375" style="0" customWidth="1"/>
    <col min="9" max="9" width="6.28125" style="220" customWidth="1"/>
    <col min="10" max="12" width="4.7109375" style="0" customWidth="1"/>
    <col min="13" max="13" width="4.7109375" style="220" customWidth="1"/>
    <col min="14" max="14" width="4.7109375" style="239" customWidth="1"/>
    <col min="15" max="15" width="4.7109375" style="0" customWidth="1"/>
    <col min="16" max="16" width="4.7109375" style="239" customWidth="1"/>
    <col min="17" max="17" width="4.7109375" style="0" customWidth="1"/>
    <col min="18" max="18" width="4.7109375" style="239" customWidth="1"/>
    <col min="19" max="19" width="4.7109375" style="0" customWidth="1"/>
    <col min="20" max="20" width="4.7109375" style="239" customWidth="1"/>
    <col min="21" max="21" width="4.7109375" style="0" customWidth="1"/>
    <col min="22" max="22" width="4.7109375" style="239" customWidth="1"/>
    <col min="23" max="23" width="4.7109375" style="0" customWidth="1"/>
    <col min="24" max="24" width="4.7109375" style="239" customWidth="1"/>
    <col min="25" max="25" width="4.7109375" style="0" customWidth="1"/>
    <col min="26" max="26" width="5.00390625" style="239" customWidth="1"/>
    <col min="27" max="27" width="4.7109375" style="0" customWidth="1"/>
    <col min="28" max="28" width="4.7109375" style="239" customWidth="1"/>
    <col min="29" max="29" width="4.7109375" style="0" customWidth="1"/>
    <col min="30" max="30" width="4.7109375" style="239" customWidth="1"/>
    <col min="31" max="31" width="5.8515625" style="220" customWidth="1"/>
  </cols>
  <sheetData>
    <row r="1" spans="1:31" ht="14.25">
      <c r="A1" s="88" t="s">
        <v>172</v>
      </c>
      <c r="U1" s="88"/>
      <c r="V1" s="88"/>
      <c r="W1" s="88"/>
      <c r="X1" s="88"/>
      <c r="Y1" s="88"/>
      <c r="Z1" s="88"/>
      <c r="AA1" s="88"/>
      <c r="AB1" s="88"/>
      <c r="AC1" s="551"/>
      <c r="AD1" s="551"/>
      <c r="AE1" s="551"/>
    </row>
    <row r="2" spans="1:31" ht="14.25">
      <c r="A2" s="88" t="s">
        <v>1</v>
      </c>
      <c r="V2"/>
      <c r="X2"/>
      <c r="Z2"/>
      <c r="AB2"/>
      <c r="AC2" s="551"/>
      <c r="AD2" s="551"/>
      <c r="AE2" s="551"/>
    </row>
    <row r="3" ht="14.25">
      <c r="A3" s="88" t="s">
        <v>2</v>
      </c>
    </row>
    <row r="4" spans="1:18" ht="14.25">
      <c r="A4" s="88" t="s">
        <v>173</v>
      </c>
      <c r="R4" s="110"/>
    </row>
    <row r="5" spans="1:16" ht="9.75" customHeight="1">
      <c r="A5" s="22" t="s">
        <v>300</v>
      </c>
      <c r="O5" s="579"/>
      <c r="P5" s="68"/>
    </row>
    <row r="6" spans="1:31" ht="9.75" customHeight="1">
      <c r="A6" s="22"/>
      <c r="B6" s="22"/>
      <c r="C6" s="22"/>
      <c r="D6" s="22"/>
      <c r="E6" s="167"/>
      <c r="F6" s="22"/>
      <c r="G6" s="22"/>
      <c r="H6" s="22"/>
      <c r="I6" s="168"/>
      <c r="J6" s="22"/>
      <c r="K6" s="22"/>
      <c r="L6" s="22"/>
      <c r="M6" s="168"/>
      <c r="N6" s="94"/>
      <c r="O6" s="22"/>
      <c r="P6" s="94"/>
      <c r="Q6" s="22"/>
      <c r="R6" s="94"/>
      <c r="S6" s="22"/>
      <c r="T6" s="94"/>
      <c r="U6" s="22"/>
      <c r="V6" s="94"/>
      <c r="W6" s="22"/>
      <c r="X6" s="94"/>
      <c r="Y6" s="22"/>
      <c r="Z6" s="94"/>
      <c r="AA6" s="22"/>
      <c r="AB6" s="94"/>
      <c r="AC6" s="22"/>
      <c r="AD6" s="94"/>
      <c r="AE6" s="168"/>
    </row>
    <row r="7" spans="1:31" ht="9.75" customHeight="1">
      <c r="A7" s="564"/>
      <c r="B7" s="564"/>
      <c r="C7" s="564"/>
      <c r="D7" s="564"/>
      <c r="E7" s="27"/>
      <c r="F7" s="24"/>
      <c r="G7" s="567" t="s">
        <v>44</v>
      </c>
      <c r="H7" s="564"/>
      <c r="I7" s="76" t="s">
        <v>175</v>
      </c>
      <c r="J7" s="564"/>
      <c r="K7" s="24" t="s">
        <v>203</v>
      </c>
      <c r="L7" s="40" t="s">
        <v>204</v>
      </c>
      <c r="M7" s="608" t="s">
        <v>44</v>
      </c>
      <c r="N7" s="609"/>
      <c r="O7" s="670" t="s">
        <v>66</v>
      </c>
      <c r="P7" s="671"/>
      <c r="Q7" s="610" t="s">
        <v>177</v>
      </c>
      <c r="R7" s="611"/>
      <c r="S7" s="612" t="s">
        <v>51</v>
      </c>
      <c r="T7" s="613"/>
      <c r="U7" s="612" t="s">
        <v>178</v>
      </c>
      <c r="V7" s="613"/>
      <c r="W7" s="670" t="s">
        <v>68</v>
      </c>
      <c r="X7" s="671"/>
      <c r="Y7" s="670" t="s">
        <v>65</v>
      </c>
      <c r="Z7" s="671"/>
      <c r="AA7" s="610" t="s">
        <v>207</v>
      </c>
      <c r="AB7" s="611"/>
      <c r="AC7" s="577" t="s">
        <v>208</v>
      </c>
      <c r="AD7" s="169"/>
      <c r="AE7" s="77" t="s">
        <v>7</v>
      </c>
    </row>
    <row r="8" spans="1:31" ht="9.75" customHeight="1">
      <c r="A8" s="669" t="s">
        <v>179</v>
      </c>
      <c r="B8" s="669"/>
      <c r="C8" s="568" t="s">
        <v>180</v>
      </c>
      <c r="D8" s="568" t="s">
        <v>181</v>
      </c>
      <c r="E8" s="51" t="s">
        <v>182</v>
      </c>
      <c r="F8" s="41" t="s">
        <v>183</v>
      </c>
      <c r="G8" s="567" t="s">
        <v>204</v>
      </c>
      <c r="H8" s="568" t="s">
        <v>212</v>
      </c>
      <c r="I8" s="576" t="s">
        <v>184</v>
      </c>
      <c r="J8" s="568" t="s">
        <v>185</v>
      </c>
      <c r="K8" s="41" t="s">
        <v>204</v>
      </c>
      <c r="L8" s="42" t="s">
        <v>199</v>
      </c>
      <c r="M8" s="575" t="s">
        <v>187</v>
      </c>
      <c r="N8" s="569" t="s">
        <v>200</v>
      </c>
      <c r="O8" s="565" t="s">
        <v>209</v>
      </c>
      <c r="P8" s="571" t="s">
        <v>200</v>
      </c>
      <c r="Q8" s="565" t="s">
        <v>209</v>
      </c>
      <c r="R8" s="571" t="s">
        <v>316</v>
      </c>
      <c r="S8" s="565" t="s">
        <v>187</v>
      </c>
      <c r="T8" s="571" t="s">
        <v>316</v>
      </c>
      <c r="U8" s="565" t="s">
        <v>187</v>
      </c>
      <c r="V8" s="571" t="s">
        <v>316</v>
      </c>
      <c r="W8" s="565" t="s">
        <v>187</v>
      </c>
      <c r="X8" s="571" t="s">
        <v>316</v>
      </c>
      <c r="Y8" s="565" t="s">
        <v>187</v>
      </c>
      <c r="Z8" s="571" t="s">
        <v>200</v>
      </c>
      <c r="AA8" s="565" t="s">
        <v>187</v>
      </c>
      <c r="AB8" s="571" t="s">
        <v>200</v>
      </c>
      <c r="AC8" s="565" t="s">
        <v>187</v>
      </c>
      <c r="AD8" s="571" t="s">
        <v>200</v>
      </c>
      <c r="AE8" s="576" t="s">
        <v>187</v>
      </c>
    </row>
    <row r="9" spans="1:31" ht="9.75" customHeight="1" thickBot="1">
      <c r="A9" s="39" t="s">
        <v>214</v>
      </c>
      <c r="B9" s="39" t="s">
        <v>215</v>
      </c>
      <c r="C9" s="78" t="s">
        <v>258</v>
      </c>
      <c r="D9" s="78" t="s">
        <v>315</v>
      </c>
      <c r="E9" s="79" t="s">
        <v>202</v>
      </c>
      <c r="F9" s="80" t="s">
        <v>191</v>
      </c>
      <c r="G9" s="81" t="s">
        <v>191</v>
      </c>
      <c r="H9" s="78" t="s">
        <v>192</v>
      </c>
      <c r="I9" s="82" t="s">
        <v>274</v>
      </c>
      <c r="J9" s="78" t="s">
        <v>194</v>
      </c>
      <c r="K9" s="80" t="s">
        <v>191</v>
      </c>
      <c r="L9" s="85" t="s">
        <v>191</v>
      </c>
      <c r="M9" s="171"/>
      <c r="N9" s="150" t="s">
        <v>191</v>
      </c>
      <c r="O9" s="172"/>
      <c r="P9" s="86" t="s">
        <v>191</v>
      </c>
      <c r="Q9" s="172"/>
      <c r="R9" s="86" t="s">
        <v>191</v>
      </c>
      <c r="S9" s="172"/>
      <c r="T9" s="86"/>
      <c r="U9" s="172"/>
      <c r="V9" s="86"/>
      <c r="W9" s="172"/>
      <c r="X9" s="86" t="s">
        <v>191</v>
      </c>
      <c r="Y9" s="172"/>
      <c r="Z9" s="86" t="s">
        <v>191</v>
      </c>
      <c r="AA9" s="172"/>
      <c r="AB9" s="86" t="s">
        <v>191</v>
      </c>
      <c r="AC9" s="172"/>
      <c r="AD9" s="86" t="s">
        <v>191</v>
      </c>
      <c r="AE9" s="82"/>
    </row>
    <row r="10" spans="1:31" ht="9.75" customHeight="1" thickTop="1">
      <c r="A10" s="564" t="s">
        <v>301</v>
      </c>
      <c r="B10" s="564" t="s">
        <v>302</v>
      </c>
      <c r="C10" s="568">
        <v>10</v>
      </c>
      <c r="D10" s="568">
        <v>450</v>
      </c>
      <c r="E10" s="51">
        <v>0.0086</v>
      </c>
      <c r="F10" s="54">
        <f aca="true" t="shared" si="0" ref="F10:F15">(1.486/0.013)*((3.14*($C10*$C10)/4)/144)*SQRT($E10)*POWER($C10/12/4,2/3)</f>
        <v>2.030818085979568</v>
      </c>
      <c r="G10" s="567">
        <v>0.46</v>
      </c>
      <c r="H10" s="568">
        <v>1986</v>
      </c>
      <c r="I10" s="576">
        <v>2060</v>
      </c>
      <c r="J10" s="50">
        <f aca="true" t="shared" si="1" ref="J10:J67">(18+SQRT(I10/1000))/(4+SQRT(I10/1000))</f>
        <v>3.5757690005616745</v>
      </c>
      <c r="K10" s="54">
        <f aca="true" t="shared" si="2" ref="K10:K67">I10:I10*100*J10/(7.48*24*60*60)</f>
        <v>1.1397807952622192</v>
      </c>
      <c r="L10" s="107">
        <f aca="true" t="shared" si="3" ref="L10:L15">IF(G10&gt;F10,F10,G10)</f>
        <v>0.46</v>
      </c>
      <c r="M10" s="575">
        <v>921</v>
      </c>
      <c r="N10" s="147">
        <f aca="true" t="shared" si="4" ref="N10:N67">J10*100*M10/(7.48*24*60*60)</f>
        <v>0.5095816079788854</v>
      </c>
      <c r="O10" s="565"/>
      <c r="P10" s="571">
        <v>0</v>
      </c>
      <c r="Q10" s="565">
        <v>294</v>
      </c>
      <c r="R10" s="170">
        <f>$J10*100*Q10/(7.48*24*60*60)</f>
        <v>0.16266774456654973</v>
      </c>
      <c r="S10" s="565"/>
      <c r="T10" s="571">
        <v>0</v>
      </c>
      <c r="U10" s="565"/>
      <c r="V10" s="571">
        <v>0</v>
      </c>
      <c r="W10" s="565"/>
      <c r="X10" s="571">
        <v>0</v>
      </c>
      <c r="Y10" s="565">
        <v>442</v>
      </c>
      <c r="Z10" s="170">
        <f aca="true" t="shared" si="5" ref="Z10:Z67">$J10*100*Y10/(7.48*24*60*60)</f>
        <v>0.24455490849801015</v>
      </c>
      <c r="AA10" s="565">
        <v>481</v>
      </c>
      <c r="AB10" s="170">
        <f aca="true" t="shared" si="6" ref="AB10:AB67">$J10*100*AA10/(7.48*24*60*60)</f>
        <v>0.26613328277724635</v>
      </c>
      <c r="AC10" s="565"/>
      <c r="AD10" s="571">
        <v>0</v>
      </c>
      <c r="AE10" s="576">
        <f>M10+O10+Q10+S10+U10+W10+Y10+AA10+AC10</f>
        <v>2138</v>
      </c>
    </row>
    <row r="11" spans="1:31" ht="9.75" customHeight="1">
      <c r="A11" s="564"/>
      <c r="B11" s="564"/>
      <c r="C11" s="568">
        <v>10</v>
      </c>
      <c r="D11" s="568">
        <v>450</v>
      </c>
      <c r="E11" s="51">
        <v>0.0086</v>
      </c>
      <c r="F11" s="54">
        <f t="shared" si="0"/>
        <v>2.030818085979568</v>
      </c>
      <c r="G11" s="567">
        <v>0.46</v>
      </c>
      <c r="H11" s="568">
        <v>1986</v>
      </c>
      <c r="I11" s="576">
        <v>2060</v>
      </c>
      <c r="J11" s="50">
        <f t="shared" si="1"/>
        <v>3.5757690005616745</v>
      </c>
      <c r="K11" s="54">
        <f t="shared" si="2"/>
        <v>1.1397807952622192</v>
      </c>
      <c r="L11" s="107">
        <f t="shared" si="3"/>
        <v>0.46</v>
      </c>
      <c r="M11" s="575">
        <v>921</v>
      </c>
      <c r="N11" s="147">
        <f t="shared" si="4"/>
        <v>0.5095816079788854</v>
      </c>
      <c r="O11" s="565"/>
      <c r="P11" s="571">
        <v>0</v>
      </c>
      <c r="Q11" s="565">
        <v>294</v>
      </c>
      <c r="R11" s="170">
        <f aca="true" t="shared" si="7" ref="R11:R67">J11*100*Q11/(7.48*24*60*60)</f>
        <v>0.16266774456654973</v>
      </c>
      <c r="S11" s="565"/>
      <c r="T11" s="571">
        <v>0</v>
      </c>
      <c r="U11" s="565"/>
      <c r="V11" s="571">
        <v>0</v>
      </c>
      <c r="W11" s="565"/>
      <c r="X11" s="571">
        <v>0</v>
      </c>
      <c r="Y11" s="565">
        <v>442</v>
      </c>
      <c r="Z11" s="170">
        <f t="shared" si="5"/>
        <v>0.24455490849801015</v>
      </c>
      <c r="AA11" s="565">
        <v>481</v>
      </c>
      <c r="AB11" s="170">
        <f t="shared" si="6"/>
        <v>0.26613328277724635</v>
      </c>
      <c r="AC11" s="565"/>
      <c r="AD11" s="571">
        <v>0</v>
      </c>
      <c r="AE11" s="576">
        <f aca="true" t="shared" si="8" ref="AE11:AE67">M11+O11+Q11+S11+U11+W11+Y11+AA11+AC11</f>
        <v>2138</v>
      </c>
    </row>
    <row r="12" spans="1:31" ht="9.75" customHeight="1">
      <c r="A12" s="564"/>
      <c r="B12" s="564"/>
      <c r="C12" s="568">
        <v>10</v>
      </c>
      <c r="D12" s="568">
        <v>381</v>
      </c>
      <c r="E12" s="51">
        <v>0.0086</v>
      </c>
      <c r="F12" s="54">
        <f t="shared" si="0"/>
        <v>2.030818085979568</v>
      </c>
      <c r="G12" s="567">
        <v>0.46</v>
      </c>
      <c r="H12" s="568">
        <v>1986</v>
      </c>
      <c r="I12" s="576">
        <v>2060</v>
      </c>
      <c r="J12" s="50">
        <f t="shared" si="1"/>
        <v>3.5757690005616745</v>
      </c>
      <c r="K12" s="54">
        <f t="shared" si="2"/>
        <v>1.1397807952622192</v>
      </c>
      <c r="L12" s="107">
        <f t="shared" si="3"/>
        <v>0.46</v>
      </c>
      <c r="M12" s="575">
        <v>921</v>
      </c>
      <c r="N12" s="147">
        <f t="shared" si="4"/>
        <v>0.5095816079788854</v>
      </c>
      <c r="O12" s="565"/>
      <c r="P12" s="571">
        <v>0</v>
      </c>
      <c r="Q12" s="565">
        <v>294</v>
      </c>
      <c r="R12" s="170">
        <f t="shared" si="7"/>
        <v>0.16266774456654973</v>
      </c>
      <c r="S12" s="565"/>
      <c r="T12" s="571">
        <v>0</v>
      </c>
      <c r="U12" s="565"/>
      <c r="V12" s="571">
        <v>0</v>
      </c>
      <c r="W12" s="565"/>
      <c r="X12" s="571">
        <v>0</v>
      </c>
      <c r="Y12" s="565">
        <v>442</v>
      </c>
      <c r="Z12" s="170">
        <f t="shared" si="5"/>
        <v>0.24455490849801015</v>
      </c>
      <c r="AA12" s="565">
        <v>481</v>
      </c>
      <c r="AB12" s="170">
        <f t="shared" si="6"/>
        <v>0.26613328277724635</v>
      </c>
      <c r="AC12" s="565"/>
      <c r="AD12" s="571">
        <v>0</v>
      </c>
      <c r="AE12" s="576">
        <f t="shared" si="8"/>
        <v>2138</v>
      </c>
    </row>
    <row r="13" spans="1:31" ht="9.75" customHeight="1">
      <c r="A13" s="564"/>
      <c r="B13" s="564"/>
      <c r="C13" s="568">
        <v>10</v>
      </c>
      <c r="D13" s="568">
        <v>275</v>
      </c>
      <c r="E13" s="51">
        <v>0.0086</v>
      </c>
      <c r="F13" s="54">
        <f t="shared" si="0"/>
        <v>2.030818085979568</v>
      </c>
      <c r="G13" s="567">
        <v>0.46</v>
      </c>
      <c r="H13" s="568">
        <v>1986</v>
      </c>
      <c r="I13" s="576">
        <v>2060</v>
      </c>
      <c r="J13" s="50">
        <f t="shared" si="1"/>
        <v>3.5757690005616745</v>
      </c>
      <c r="K13" s="54">
        <f t="shared" si="2"/>
        <v>1.1397807952622192</v>
      </c>
      <c r="L13" s="107">
        <f t="shared" si="3"/>
        <v>0.46</v>
      </c>
      <c r="M13" s="575">
        <v>921</v>
      </c>
      <c r="N13" s="147">
        <f t="shared" si="4"/>
        <v>0.5095816079788854</v>
      </c>
      <c r="O13" s="565"/>
      <c r="P13" s="571">
        <v>0</v>
      </c>
      <c r="Q13" s="565">
        <v>294</v>
      </c>
      <c r="R13" s="170">
        <f t="shared" si="7"/>
        <v>0.16266774456654973</v>
      </c>
      <c r="S13" s="565"/>
      <c r="T13" s="571">
        <v>0</v>
      </c>
      <c r="U13" s="565"/>
      <c r="V13" s="571">
        <v>0</v>
      </c>
      <c r="W13" s="565"/>
      <c r="X13" s="571">
        <v>0</v>
      </c>
      <c r="Y13" s="565">
        <v>442</v>
      </c>
      <c r="Z13" s="170">
        <f t="shared" si="5"/>
        <v>0.24455490849801015</v>
      </c>
      <c r="AA13" s="565">
        <v>481</v>
      </c>
      <c r="AB13" s="170">
        <f t="shared" si="6"/>
        <v>0.26613328277724635</v>
      </c>
      <c r="AC13" s="565"/>
      <c r="AD13" s="571">
        <v>0</v>
      </c>
      <c r="AE13" s="576">
        <f t="shared" si="8"/>
        <v>2138</v>
      </c>
    </row>
    <row r="14" spans="1:31" ht="9.75" customHeight="1">
      <c r="A14" s="564"/>
      <c r="B14" s="564"/>
      <c r="C14" s="568">
        <v>10</v>
      </c>
      <c r="D14" s="568">
        <v>249</v>
      </c>
      <c r="E14" s="51">
        <v>0.0086</v>
      </c>
      <c r="F14" s="54">
        <f t="shared" si="0"/>
        <v>2.030818085979568</v>
      </c>
      <c r="G14" s="567">
        <v>0.46</v>
      </c>
      <c r="H14" s="568">
        <v>1986</v>
      </c>
      <c r="I14" s="576">
        <v>2060</v>
      </c>
      <c r="J14" s="50">
        <f t="shared" si="1"/>
        <v>3.5757690005616745</v>
      </c>
      <c r="K14" s="54">
        <f t="shared" si="2"/>
        <v>1.1397807952622192</v>
      </c>
      <c r="L14" s="102">
        <f t="shared" si="3"/>
        <v>0.46</v>
      </c>
      <c r="M14" s="575">
        <v>921</v>
      </c>
      <c r="N14" s="147">
        <f t="shared" si="4"/>
        <v>0.5095816079788854</v>
      </c>
      <c r="O14" s="565"/>
      <c r="P14" s="569">
        <v>0</v>
      </c>
      <c r="Q14" s="173">
        <f>Q$19</f>
        <v>294</v>
      </c>
      <c r="R14" s="170">
        <f t="shared" si="7"/>
        <v>0.16266774456654973</v>
      </c>
      <c r="S14" s="565"/>
      <c r="T14" s="571">
        <v>0</v>
      </c>
      <c r="U14" s="565"/>
      <c r="V14" s="571">
        <v>0</v>
      </c>
      <c r="W14" s="565"/>
      <c r="X14" s="571">
        <v>0</v>
      </c>
      <c r="Y14" s="565">
        <v>442</v>
      </c>
      <c r="Z14" s="170">
        <f t="shared" si="5"/>
        <v>0.24455490849801015</v>
      </c>
      <c r="AA14" s="565">
        <v>481</v>
      </c>
      <c r="AB14" s="170">
        <f t="shared" si="6"/>
        <v>0.26613328277724635</v>
      </c>
      <c r="AC14" s="565"/>
      <c r="AD14" s="571">
        <v>0</v>
      </c>
      <c r="AE14" s="576">
        <f t="shared" si="8"/>
        <v>2138</v>
      </c>
    </row>
    <row r="15" spans="1:31" ht="9.75" customHeight="1">
      <c r="A15" s="564"/>
      <c r="B15" s="564"/>
      <c r="C15" s="568">
        <v>10</v>
      </c>
      <c r="D15" s="568">
        <v>145</v>
      </c>
      <c r="E15" s="51">
        <v>0.0086</v>
      </c>
      <c r="F15" s="54">
        <f t="shared" si="0"/>
        <v>2.030818085979568</v>
      </c>
      <c r="G15" s="567">
        <v>0.46</v>
      </c>
      <c r="H15" s="568">
        <v>1986</v>
      </c>
      <c r="I15" s="576">
        <v>2060</v>
      </c>
      <c r="J15" s="50">
        <f t="shared" si="1"/>
        <v>3.5757690005616745</v>
      </c>
      <c r="K15" s="54">
        <f t="shared" si="2"/>
        <v>1.1397807952622192</v>
      </c>
      <c r="L15" s="102">
        <f t="shared" si="3"/>
        <v>0.46</v>
      </c>
      <c r="M15" s="575">
        <v>921</v>
      </c>
      <c r="N15" s="147">
        <f t="shared" si="4"/>
        <v>0.5095816079788854</v>
      </c>
      <c r="O15" s="565"/>
      <c r="P15" s="569">
        <v>0</v>
      </c>
      <c r="Q15" s="173">
        <f>Q$19</f>
        <v>294</v>
      </c>
      <c r="R15" s="170">
        <f t="shared" si="7"/>
        <v>0.16266774456654973</v>
      </c>
      <c r="S15" s="565"/>
      <c r="T15" s="571">
        <v>0</v>
      </c>
      <c r="U15" s="565"/>
      <c r="V15" s="571">
        <v>0</v>
      </c>
      <c r="W15" s="565"/>
      <c r="X15" s="571">
        <v>0</v>
      </c>
      <c r="Y15" s="565">
        <v>442</v>
      </c>
      <c r="Z15" s="170">
        <f t="shared" si="5"/>
        <v>0.24455490849801015</v>
      </c>
      <c r="AA15" s="565">
        <v>481</v>
      </c>
      <c r="AB15" s="170">
        <f t="shared" si="6"/>
        <v>0.26613328277724635</v>
      </c>
      <c r="AC15" s="565"/>
      <c r="AD15" s="571">
        <v>0</v>
      </c>
      <c r="AE15" s="576">
        <f t="shared" si="8"/>
        <v>2138</v>
      </c>
    </row>
    <row r="16" spans="1:31" ht="9.75" customHeight="1">
      <c r="A16" s="564"/>
      <c r="B16" s="564"/>
      <c r="C16" s="568"/>
      <c r="D16" s="568"/>
      <c r="E16" s="51"/>
      <c r="F16" s="54"/>
      <c r="G16" s="567"/>
      <c r="H16" s="568"/>
      <c r="I16" s="576"/>
      <c r="J16" s="50"/>
      <c r="K16" s="54"/>
      <c r="L16" s="102"/>
      <c r="M16" s="575"/>
      <c r="N16" s="147"/>
      <c r="O16" s="565"/>
      <c r="P16" s="569"/>
      <c r="Q16" s="173"/>
      <c r="R16" s="170"/>
      <c r="S16" s="565"/>
      <c r="T16" s="571"/>
      <c r="U16" s="565"/>
      <c r="V16" s="571"/>
      <c r="W16" s="565"/>
      <c r="X16" s="571"/>
      <c r="Y16" s="565"/>
      <c r="Z16" s="170"/>
      <c r="AA16" s="565"/>
      <c r="AB16" s="170"/>
      <c r="AC16" s="565"/>
      <c r="AD16" s="571"/>
      <c r="AE16" s="576"/>
    </row>
    <row r="17" spans="1:31" ht="9.75" customHeight="1">
      <c r="A17" s="564" t="s">
        <v>317</v>
      </c>
      <c r="B17" s="564" t="s">
        <v>296</v>
      </c>
      <c r="C17" s="568">
        <v>15</v>
      </c>
      <c r="D17" s="568">
        <v>263</v>
      </c>
      <c r="E17" s="51">
        <v>0.0028</v>
      </c>
      <c r="F17" s="54">
        <f aca="true" t="shared" si="9" ref="F17:F24">(1.486/0.013)*((3.14*($C17*$C17)/4)/144)*SQRT($E17)*POWER($C17/12/4,2/3)</f>
        <v>3.4164691488090884</v>
      </c>
      <c r="G17" s="567">
        <v>3.44</v>
      </c>
      <c r="H17" s="568">
        <v>1990</v>
      </c>
      <c r="I17" s="576">
        <f>I$19</f>
        <v>4790</v>
      </c>
      <c r="J17" s="50">
        <f t="shared" si="1"/>
        <v>3.26222158077297</v>
      </c>
      <c r="K17" s="54">
        <f t="shared" si="2"/>
        <v>2.4178738011089025</v>
      </c>
      <c r="L17" s="102">
        <f aca="true" t="shared" si="10" ref="L17:L24">IF(G17&gt;F17,F17,G17)</f>
        <v>3.4164691488090884</v>
      </c>
      <c r="M17" s="575">
        <f>M$19</f>
        <v>3651</v>
      </c>
      <c r="N17" s="147">
        <f t="shared" si="4"/>
        <v>1.8429347072752826</v>
      </c>
      <c r="O17" s="565"/>
      <c r="P17" s="569">
        <v>0</v>
      </c>
      <c r="Q17" s="173">
        <f>Q$19</f>
        <v>294</v>
      </c>
      <c r="R17" s="170">
        <f t="shared" si="7"/>
        <v>0.14840394520376146</v>
      </c>
      <c r="S17" s="565"/>
      <c r="T17" s="571">
        <v>0</v>
      </c>
      <c r="U17" s="565"/>
      <c r="V17" s="571">
        <v>0</v>
      </c>
      <c r="W17" s="565"/>
      <c r="X17" s="571">
        <v>0</v>
      </c>
      <c r="Y17" s="565">
        <v>442</v>
      </c>
      <c r="Z17" s="170">
        <f t="shared" si="5"/>
        <v>0.22311069312946452</v>
      </c>
      <c r="AA17" s="565">
        <v>481</v>
      </c>
      <c r="AB17" s="170">
        <f t="shared" si="6"/>
        <v>0.24279693075853492</v>
      </c>
      <c r="AC17" s="565"/>
      <c r="AD17" s="571">
        <v>0</v>
      </c>
      <c r="AE17" s="576">
        <f t="shared" si="8"/>
        <v>4868</v>
      </c>
    </row>
    <row r="18" spans="1:31" ht="9.75" customHeight="1">
      <c r="A18" s="564"/>
      <c r="B18" s="564"/>
      <c r="C18" s="568">
        <v>15</v>
      </c>
      <c r="D18" s="568">
        <v>276</v>
      </c>
      <c r="E18" s="51">
        <v>0.0028</v>
      </c>
      <c r="F18" s="54">
        <f t="shared" si="9"/>
        <v>3.4164691488090884</v>
      </c>
      <c r="G18" s="567">
        <v>3.44</v>
      </c>
      <c r="H18" s="568">
        <v>1990</v>
      </c>
      <c r="I18" s="576">
        <f>I$19</f>
        <v>4790</v>
      </c>
      <c r="J18" s="50">
        <f t="shared" si="1"/>
        <v>3.26222158077297</v>
      </c>
      <c r="K18" s="54">
        <f t="shared" si="2"/>
        <v>2.4178738011089025</v>
      </c>
      <c r="L18" s="102">
        <f t="shared" si="10"/>
        <v>3.4164691488090884</v>
      </c>
      <c r="M18" s="575">
        <f>M$19</f>
        <v>3651</v>
      </c>
      <c r="N18" s="147">
        <f t="shared" si="4"/>
        <v>1.8429347072752826</v>
      </c>
      <c r="O18" s="565"/>
      <c r="P18" s="569">
        <v>0</v>
      </c>
      <c r="Q18" s="173">
        <f>Q$19</f>
        <v>294</v>
      </c>
      <c r="R18" s="170">
        <f t="shared" si="7"/>
        <v>0.14840394520376146</v>
      </c>
      <c r="S18" s="565"/>
      <c r="T18" s="571">
        <v>0</v>
      </c>
      <c r="U18" s="565"/>
      <c r="V18" s="571">
        <v>0</v>
      </c>
      <c r="W18" s="565"/>
      <c r="X18" s="571">
        <v>0</v>
      </c>
      <c r="Y18" s="565">
        <v>442</v>
      </c>
      <c r="Z18" s="170">
        <f t="shared" si="5"/>
        <v>0.22311069312946452</v>
      </c>
      <c r="AA18" s="565">
        <v>481</v>
      </c>
      <c r="AB18" s="170">
        <f t="shared" si="6"/>
        <v>0.24279693075853492</v>
      </c>
      <c r="AC18" s="565"/>
      <c r="AD18" s="571">
        <v>0</v>
      </c>
      <c r="AE18" s="576">
        <f t="shared" si="8"/>
        <v>4868</v>
      </c>
    </row>
    <row r="19" spans="1:31" ht="9.75" customHeight="1">
      <c r="A19" s="564"/>
      <c r="B19" s="564"/>
      <c r="C19" s="568">
        <v>15</v>
      </c>
      <c r="D19" s="568">
        <v>296</v>
      </c>
      <c r="E19" s="51">
        <v>0.0028</v>
      </c>
      <c r="F19" s="54">
        <f t="shared" si="9"/>
        <v>3.4164691488090884</v>
      </c>
      <c r="G19" s="567">
        <v>3.44</v>
      </c>
      <c r="H19" s="568">
        <v>1990</v>
      </c>
      <c r="I19" s="576">
        <v>4790</v>
      </c>
      <c r="J19" s="50">
        <f t="shared" si="1"/>
        <v>3.26222158077297</v>
      </c>
      <c r="K19" s="54">
        <f t="shared" si="2"/>
        <v>2.4178738011089025</v>
      </c>
      <c r="L19" s="107">
        <f t="shared" si="10"/>
        <v>3.4164691488090884</v>
      </c>
      <c r="M19" s="575">
        <v>3651</v>
      </c>
      <c r="N19" s="147">
        <f t="shared" si="4"/>
        <v>1.8429347072752826</v>
      </c>
      <c r="O19" s="565"/>
      <c r="P19" s="571">
        <v>0</v>
      </c>
      <c r="Q19" s="565">
        <v>294</v>
      </c>
      <c r="R19" s="170">
        <f t="shared" si="7"/>
        <v>0.14840394520376146</v>
      </c>
      <c r="S19" s="565"/>
      <c r="T19" s="571">
        <v>0</v>
      </c>
      <c r="U19" s="565"/>
      <c r="V19" s="571">
        <v>0</v>
      </c>
      <c r="W19" s="565"/>
      <c r="X19" s="571">
        <v>0</v>
      </c>
      <c r="Y19" s="565">
        <v>442</v>
      </c>
      <c r="Z19" s="170">
        <f t="shared" si="5"/>
        <v>0.22311069312946452</v>
      </c>
      <c r="AA19" s="565">
        <v>481</v>
      </c>
      <c r="AB19" s="170">
        <f t="shared" si="6"/>
        <v>0.24279693075853492</v>
      </c>
      <c r="AC19" s="565"/>
      <c r="AD19" s="571">
        <v>0</v>
      </c>
      <c r="AE19" s="576">
        <f t="shared" si="8"/>
        <v>4868</v>
      </c>
    </row>
    <row r="20" spans="1:31" ht="9.75" customHeight="1">
      <c r="A20" s="564"/>
      <c r="B20" s="564"/>
      <c r="C20" s="568">
        <v>15</v>
      </c>
      <c r="D20" s="568">
        <v>395</v>
      </c>
      <c r="E20" s="51">
        <v>0.0028</v>
      </c>
      <c r="F20" s="54"/>
      <c r="G20" s="567">
        <v>3.44</v>
      </c>
      <c r="H20" s="568">
        <v>1990</v>
      </c>
      <c r="I20" s="576">
        <v>4790</v>
      </c>
      <c r="J20" s="50">
        <f t="shared" si="1"/>
        <v>3.26222158077297</v>
      </c>
      <c r="K20" s="54">
        <f t="shared" si="2"/>
        <v>2.4178738011089025</v>
      </c>
      <c r="L20" s="107">
        <f t="shared" si="10"/>
        <v>0</v>
      </c>
      <c r="M20" s="575">
        <v>3651</v>
      </c>
      <c r="N20" s="147">
        <f t="shared" si="4"/>
        <v>1.8429347072752826</v>
      </c>
      <c r="O20" s="565"/>
      <c r="P20" s="571">
        <v>0</v>
      </c>
      <c r="Q20" s="565">
        <v>294</v>
      </c>
      <c r="R20" s="170">
        <f t="shared" si="7"/>
        <v>0.14840394520376146</v>
      </c>
      <c r="S20" s="565"/>
      <c r="T20" s="571">
        <v>0</v>
      </c>
      <c r="U20" s="565"/>
      <c r="V20" s="571">
        <v>0</v>
      </c>
      <c r="W20" s="565"/>
      <c r="X20" s="571">
        <v>0</v>
      </c>
      <c r="Y20" s="565">
        <v>442</v>
      </c>
      <c r="Z20" s="170">
        <f t="shared" si="5"/>
        <v>0.22311069312946452</v>
      </c>
      <c r="AA20" s="565">
        <v>481</v>
      </c>
      <c r="AB20" s="170">
        <f t="shared" si="6"/>
        <v>0.24279693075853492</v>
      </c>
      <c r="AC20" s="565"/>
      <c r="AD20" s="571">
        <v>0</v>
      </c>
      <c r="AE20" s="576">
        <f t="shared" si="8"/>
        <v>4868</v>
      </c>
    </row>
    <row r="21" spans="1:31" ht="9.75" customHeight="1">
      <c r="A21" s="564"/>
      <c r="B21" s="564"/>
      <c r="C21" s="568">
        <v>15</v>
      </c>
      <c r="D21" s="568">
        <v>395</v>
      </c>
      <c r="E21" s="51">
        <v>0.0028</v>
      </c>
      <c r="F21" s="54">
        <f t="shared" si="9"/>
        <v>3.4164691488090884</v>
      </c>
      <c r="G21" s="567">
        <v>3.44</v>
      </c>
      <c r="H21" s="568">
        <v>1990</v>
      </c>
      <c r="I21" s="576">
        <v>4790</v>
      </c>
      <c r="J21" s="50">
        <f t="shared" si="1"/>
        <v>3.26222158077297</v>
      </c>
      <c r="K21" s="54">
        <f t="shared" si="2"/>
        <v>2.4178738011089025</v>
      </c>
      <c r="L21" s="107">
        <f t="shared" si="10"/>
        <v>3.4164691488090884</v>
      </c>
      <c r="M21" s="575">
        <v>3651</v>
      </c>
      <c r="N21" s="147">
        <f t="shared" si="4"/>
        <v>1.8429347072752826</v>
      </c>
      <c r="O21" s="565"/>
      <c r="P21" s="571">
        <v>0</v>
      </c>
      <c r="Q21" s="565">
        <v>294</v>
      </c>
      <c r="R21" s="170">
        <f t="shared" si="7"/>
        <v>0.14840394520376146</v>
      </c>
      <c r="S21" s="565"/>
      <c r="T21" s="571">
        <v>0</v>
      </c>
      <c r="U21" s="565"/>
      <c r="V21" s="571">
        <v>0</v>
      </c>
      <c r="W21" s="565"/>
      <c r="X21" s="571">
        <v>0</v>
      </c>
      <c r="Y21" s="565">
        <v>442</v>
      </c>
      <c r="Z21" s="170">
        <f t="shared" si="5"/>
        <v>0.22311069312946452</v>
      </c>
      <c r="AA21" s="565">
        <v>481</v>
      </c>
      <c r="AB21" s="170">
        <f t="shared" si="6"/>
        <v>0.24279693075853492</v>
      </c>
      <c r="AC21" s="565"/>
      <c r="AD21" s="571">
        <v>0</v>
      </c>
      <c r="AE21" s="576">
        <f t="shared" si="8"/>
        <v>4868</v>
      </c>
    </row>
    <row r="22" spans="1:31" ht="9.75" customHeight="1">
      <c r="A22" s="564"/>
      <c r="B22" s="564" t="s">
        <v>318</v>
      </c>
      <c r="C22" s="568">
        <v>15</v>
      </c>
      <c r="D22" s="568">
        <v>282</v>
      </c>
      <c r="E22" s="51">
        <v>0.006</v>
      </c>
      <c r="F22" s="54">
        <f t="shared" si="9"/>
        <v>5.001198737323804</v>
      </c>
      <c r="G22" s="567">
        <v>3.44</v>
      </c>
      <c r="H22" s="568">
        <v>1990</v>
      </c>
      <c r="I22" s="576">
        <v>4790</v>
      </c>
      <c r="J22" s="50">
        <f t="shared" si="1"/>
        <v>3.26222158077297</v>
      </c>
      <c r="K22" s="54">
        <f t="shared" si="2"/>
        <v>2.4178738011089025</v>
      </c>
      <c r="L22" s="107">
        <f t="shared" si="10"/>
        <v>3.44</v>
      </c>
      <c r="M22" s="575">
        <v>3651</v>
      </c>
      <c r="N22" s="147">
        <f t="shared" si="4"/>
        <v>1.8429347072752826</v>
      </c>
      <c r="O22" s="565"/>
      <c r="P22" s="571">
        <v>0</v>
      </c>
      <c r="Q22" s="565">
        <v>294</v>
      </c>
      <c r="R22" s="170">
        <f t="shared" si="7"/>
        <v>0.14840394520376146</v>
      </c>
      <c r="S22" s="565"/>
      <c r="T22" s="571">
        <v>0</v>
      </c>
      <c r="U22" s="565"/>
      <c r="V22" s="571">
        <v>0</v>
      </c>
      <c r="W22" s="565"/>
      <c r="X22" s="571">
        <v>0</v>
      </c>
      <c r="Y22" s="565">
        <v>442</v>
      </c>
      <c r="Z22" s="170">
        <f t="shared" si="5"/>
        <v>0.22311069312946452</v>
      </c>
      <c r="AA22" s="565">
        <v>481</v>
      </c>
      <c r="AB22" s="170">
        <f t="shared" si="6"/>
        <v>0.24279693075853492</v>
      </c>
      <c r="AC22" s="565"/>
      <c r="AD22" s="571">
        <v>0</v>
      </c>
      <c r="AE22" s="576">
        <f t="shared" si="8"/>
        <v>4868</v>
      </c>
    </row>
    <row r="23" spans="1:31" ht="9.75" customHeight="1">
      <c r="A23" s="564"/>
      <c r="B23" s="564"/>
      <c r="C23" s="568">
        <v>15</v>
      </c>
      <c r="D23" s="568">
        <v>258</v>
      </c>
      <c r="E23" s="51">
        <v>0.006</v>
      </c>
      <c r="F23" s="54">
        <f t="shared" si="9"/>
        <v>5.001198737323804</v>
      </c>
      <c r="G23" s="567">
        <v>3.44</v>
      </c>
      <c r="H23" s="568">
        <v>1990</v>
      </c>
      <c r="I23" s="576">
        <v>4790</v>
      </c>
      <c r="J23" s="50">
        <f t="shared" si="1"/>
        <v>3.26222158077297</v>
      </c>
      <c r="K23" s="54">
        <f t="shared" si="2"/>
        <v>2.4178738011089025</v>
      </c>
      <c r="L23" s="107">
        <f t="shared" si="10"/>
        <v>3.44</v>
      </c>
      <c r="M23" s="575">
        <v>3651</v>
      </c>
      <c r="N23" s="147">
        <f t="shared" si="4"/>
        <v>1.8429347072752826</v>
      </c>
      <c r="O23" s="565"/>
      <c r="P23" s="571">
        <v>0</v>
      </c>
      <c r="Q23" s="565">
        <v>294</v>
      </c>
      <c r="R23" s="170">
        <f t="shared" si="7"/>
        <v>0.14840394520376146</v>
      </c>
      <c r="S23" s="565"/>
      <c r="T23" s="571">
        <v>0</v>
      </c>
      <c r="U23" s="565"/>
      <c r="V23" s="571">
        <v>0</v>
      </c>
      <c r="W23" s="565"/>
      <c r="X23" s="571">
        <v>0</v>
      </c>
      <c r="Y23" s="565">
        <v>442</v>
      </c>
      <c r="Z23" s="170">
        <f t="shared" si="5"/>
        <v>0.22311069312946452</v>
      </c>
      <c r="AA23" s="565">
        <v>481</v>
      </c>
      <c r="AB23" s="170">
        <f t="shared" si="6"/>
        <v>0.24279693075853492</v>
      </c>
      <c r="AC23" s="565"/>
      <c r="AD23" s="571">
        <v>0</v>
      </c>
      <c r="AE23" s="576">
        <f t="shared" si="8"/>
        <v>4868</v>
      </c>
    </row>
    <row r="24" spans="1:31" ht="9.75" customHeight="1">
      <c r="A24" s="564"/>
      <c r="B24" s="564"/>
      <c r="C24" s="568">
        <v>15</v>
      </c>
      <c r="D24" s="568">
        <v>27</v>
      </c>
      <c r="E24" s="51">
        <v>0.006</v>
      </c>
      <c r="F24" s="54">
        <f t="shared" si="9"/>
        <v>5.001198737323804</v>
      </c>
      <c r="G24" s="567">
        <v>3.44</v>
      </c>
      <c r="H24" s="568">
        <v>1990</v>
      </c>
      <c r="I24" s="576">
        <f>I$28</f>
        <v>5259</v>
      </c>
      <c r="J24" s="50">
        <f t="shared" si="1"/>
        <v>3.2246053863528434</v>
      </c>
      <c r="K24" s="54">
        <f t="shared" si="2"/>
        <v>2.624003473278991</v>
      </c>
      <c r="L24" s="107">
        <f t="shared" si="10"/>
        <v>3.44</v>
      </c>
      <c r="M24" s="575">
        <v>3651</v>
      </c>
      <c r="N24" s="147">
        <f t="shared" si="4"/>
        <v>1.82168409981776</v>
      </c>
      <c r="O24" s="565"/>
      <c r="P24" s="571">
        <v>0</v>
      </c>
      <c r="Q24" s="565">
        <v>294</v>
      </c>
      <c r="R24" s="170">
        <f t="shared" si="7"/>
        <v>0.14669272126716554</v>
      </c>
      <c r="S24" s="565"/>
      <c r="T24" s="571">
        <v>0</v>
      </c>
      <c r="U24" s="565"/>
      <c r="V24" s="571">
        <v>0</v>
      </c>
      <c r="W24" s="565"/>
      <c r="X24" s="571">
        <v>0</v>
      </c>
      <c r="Y24" s="565">
        <v>442</v>
      </c>
      <c r="Z24" s="170">
        <f t="shared" si="5"/>
        <v>0.22053803673499034</v>
      </c>
      <c r="AA24" s="565">
        <v>481</v>
      </c>
      <c r="AB24" s="170">
        <f t="shared" si="6"/>
        <v>0.23999727527043066</v>
      </c>
      <c r="AC24" s="565"/>
      <c r="AD24" s="571">
        <v>0</v>
      </c>
      <c r="AE24" s="576">
        <f t="shared" si="8"/>
        <v>4868</v>
      </c>
    </row>
    <row r="25" spans="1:31" ht="9.75" customHeight="1">
      <c r="A25" s="564"/>
      <c r="B25" s="564"/>
      <c r="C25" s="568"/>
      <c r="D25" s="568"/>
      <c r="E25" s="51"/>
      <c r="F25" s="54"/>
      <c r="G25" s="567"/>
      <c r="H25" s="568"/>
      <c r="I25" s="576"/>
      <c r="J25" s="50"/>
      <c r="K25" s="54"/>
      <c r="L25" s="107"/>
      <c r="M25" s="575"/>
      <c r="N25" s="147"/>
      <c r="O25" s="565"/>
      <c r="P25" s="571"/>
      <c r="Q25" s="565"/>
      <c r="R25" s="170"/>
      <c r="S25" s="565"/>
      <c r="T25" s="571"/>
      <c r="U25" s="565"/>
      <c r="V25" s="571"/>
      <c r="W25" s="565"/>
      <c r="X25" s="571"/>
      <c r="Y25" s="565"/>
      <c r="Z25" s="170"/>
      <c r="AA25" s="565"/>
      <c r="AB25" s="170"/>
      <c r="AC25" s="565"/>
      <c r="AD25" s="571"/>
      <c r="AE25" s="576"/>
    </row>
    <row r="26" spans="1:31" ht="9.75" customHeight="1">
      <c r="A26" s="564"/>
      <c r="B26" s="564" t="s">
        <v>303</v>
      </c>
      <c r="C26" s="568">
        <v>15</v>
      </c>
      <c r="D26" s="568">
        <v>378</v>
      </c>
      <c r="E26" s="51">
        <v>0.006</v>
      </c>
      <c r="F26" s="54">
        <f aca="true" t="shared" si="11" ref="F26:F37">(1.486/0.013)*((3.14*($C26*$C26)/4)/144)*SQRT($E26)*POWER($C26/12/4,2/3)</f>
        <v>5.001198737323804</v>
      </c>
      <c r="G26" s="567">
        <v>3.63</v>
      </c>
      <c r="H26" s="568">
        <v>1990</v>
      </c>
      <c r="I26" s="576">
        <f>I$28</f>
        <v>5259</v>
      </c>
      <c r="J26" s="50">
        <f t="shared" si="1"/>
        <v>3.2246053863528434</v>
      </c>
      <c r="K26" s="54">
        <f t="shared" si="2"/>
        <v>2.624003473278991</v>
      </c>
      <c r="L26" s="107">
        <f aca="true" t="shared" si="12" ref="L26:L37">IF(G26&gt;F26,F26,G26)</f>
        <v>3.63</v>
      </c>
      <c r="M26" s="575">
        <f>M$28</f>
        <v>4107</v>
      </c>
      <c r="N26" s="147">
        <f t="shared" si="4"/>
        <v>2.0492075042321387</v>
      </c>
      <c r="O26" s="565"/>
      <c r="P26" s="571">
        <v>0</v>
      </c>
      <c r="Q26" s="565">
        <f>Q$28</f>
        <v>307</v>
      </c>
      <c r="R26" s="170">
        <f t="shared" si="7"/>
        <v>0.1531791341123123</v>
      </c>
      <c r="S26" s="565"/>
      <c r="T26" s="571">
        <v>0</v>
      </c>
      <c r="U26" s="565"/>
      <c r="V26" s="571">
        <v>0</v>
      </c>
      <c r="W26" s="565"/>
      <c r="X26" s="571">
        <v>0</v>
      </c>
      <c r="Y26" s="565">
        <v>442</v>
      </c>
      <c r="Z26" s="170">
        <f t="shared" si="5"/>
        <v>0.22053803673499034</v>
      </c>
      <c r="AA26" s="565">
        <v>481</v>
      </c>
      <c r="AB26" s="170">
        <f t="shared" si="6"/>
        <v>0.23999727527043066</v>
      </c>
      <c r="AC26" s="565"/>
      <c r="AD26" s="571">
        <v>0</v>
      </c>
      <c r="AE26" s="576">
        <f t="shared" si="8"/>
        <v>5337</v>
      </c>
    </row>
    <row r="27" spans="1:31" ht="9.75" customHeight="1">
      <c r="A27" s="564"/>
      <c r="B27" s="564"/>
      <c r="C27" s="568">
        <v>15</v>
      </c>
      <c r="D27" s="568">
        <v>334</v>
      </c>
      <c r="E27" s="51">
        <v>0.006</v>
      </c>
      <c r="F27" s="54">
        <f t="shared" si="11"/>
        <v>5.001198737323804</v>
      </c>
      <c r="G27" s="567">
        <v>3.63</v>
      </c>
      <c r="H27" s="568">
        <v>1990</v>
      </c>
      <c r="I27" s="576">
        <f>I$28</f>
        <v>5259</v>
      </c>
      <c r="J27" s="50">
        <f t="shared" si="1"/>
        <v>3.2246053863528434</v>
      </c>
      <c r="K27" s="54">
        <f t="shared" si="2"/>
        <v>2.624003473278991</v>
      </c>
      <c r="L27" s="107">
        <f t="shared" si="12"/>
        <v>3.63</v>
      </c>
      <c r="M27" s="575">
        <f>M$28</f>
        <v>4107</v>
      </c>
      <c r="N27" s="147">
        <f t="shared" si="4"/>
        <v>2.0492075042321387</v>
      </c>
      <c r="O27" s="565"/>
      <c r="P27" s="571">
        <v>0</v>
      </c>
      <c r="Q27" s="565">
        <f>Q$28</f>
        <v>307</v>
      </c>
      <c r="R27" s="170">
        <f t="shared" si="7"/>
        <v>0.1531791341123123</v>
      </c>
      <c r="S27" s="565"/>
      <c r="T27" s="571">
        <v>0</v>
      </c>
      <c r="U27" s="565"/>
      <c r="V27" s="571">
        <v>0</v>
      </c>
      <c r="W27" s="565"/>
      <c r="X27" s="571">
        <v>0</v>
      </c>
      <c r="Y27" s="565">
        <v>442</v>
      </c>
      <c r="Z27" s="170">
        <f t="shared" si="5"/>
        <v>0.22053803673499034</v>
      </c>
      <c r="AA27" s="565">
        <v>481</v>
      </c>
      <c r="AB27" s="170">
        <f t="shared" si="6"/>
        <v>0.23999727527043066</v>
      </c>
      <c r="AC27" s="565"/>
      <c r="AD27" s="571">
        <v>0</v>
      </c>
      <c r="AE27" s="576">
        <f t="shared" si="8"/>
        <v>5337</v>
      </c>
    </row>
    <row r="28" spans="1:31" ht="9.75" customHeight="1">
      <c r="A28" s="564"/>
      <c r="B28" s="564" t="s">
        <v>304</v>
      </c>
      <c r="C28" s="568">
        <v>15</v>
      </c>
      <c r="D28" s="568">
        <v>61</v>
      </c>
      <c r="E28" s="51">
        <v>0.0077</v>
      </c>
      <c r="F28" s="54">
        <f t="shared" si="11"/>
        <v>5.665573137212317</v>
      </c>
      <c r="G28" s="567">
        <v>3.63</v>
      </c>
      <c r="H28" s="568">
        <v>1990</v>
      </c>
      <c r="I28" s="576">
        <v>5259</v>
      </c>
      <c r="J28" s="50">
        <f t="shared" si="1"/>
        <v>3.2246053863528434</v>
      </c>
      <c r="K28" s="54">
        <f t="shared" si="2"/>
        <v>2.624003473278991</v>
      </c>
      <c r="L28" s="107">
        <f t="shared" si="12"/>
        <v>3.63</v>
      </c>
      <c r="M28" s="575">
        <v>4107</v>
      </c>
      <c r="N28" s="147">
        <f t="shared" si="4"/>
        <v>2.0492075042321387</v>
      </c>
      <c r="O28" s="565"/>
      <c r="P28" s="571">
        <v>0</v>
      </c>
      <c r="Q28" s="565">
        <v>307</v>
      </c>
      <c r="R28" s="170">
        <f t="shared" si="7"/>
        <v>0.1531791341123123</v>
      </c>
      <c r="S28" s="565"/>
      <c r="T28" s="571">
        <v>0</v>
      </c>
      <c r="U28" s="565"/>
      <c r="V28" s="571">
        <v>0</v>
      </c>
      <c r="W28" s="565"/>
      <c r="X28" s="571">
        <v>0</v>
      </c>
      <c r="Y28" s="565">
        <v>442</v>
      </c>
      <c r="Z28" s="170">
        <f t="shared" si="5"/>
        <v>0.22053803673499034</v>
      </c>
      <c r="AA28" s="565">
        <v>481</v>
      </c>
      <c r="AB28" s="170">
        <f t="shared" si="6"/>
        <v>0.23999727527043066</v>
      </c>
      <c r="AC28" s="565"/>
      <c r="AD28" s="571">
        <v>0</v>
      </c>
      <c r="AE28" s="576">
        <f t="shared" si="8"/>
        <v>5337</v>
      </c>
    </row>
    <row r="29" spans="1:31" ht="9.75" customHeight="1">
      <c r="A29" s="564"/>
      <c r="B29" s="564"/>
      <c r="C29" s="568">
        <v>15</v>
      </c>
      <c r="D29" s="568">
        <v>395</v>
      </c>
      <c r="E29" s="51">
        <v>0.0077</v>
      </c>
      <c r="F29" s="54">
        <f t="shared" si="11"/>
        <v>5.665573137212317</v>
      </c>
      <c r="G29" s="567">
        <v>3.63</v>
      </c>
      <c r="H29" s="568">
        <v>1990</v>
      </c>
      <c r="I29" s="576">
        <v>5259</v>
      </c>
      <c r="J29" s="50">
        <f t="shared" si="1"/>
        <v>3.2246053863528434</v>
      </c>
      <c r="K29" s="54">
        <f t="shared" si="2"/>
        <v>2.624003473278991</v>
      </c>
      <c r="L29" s="107">
        <f t="shared" si="12"/>
        <v>3.63</v>
      </c>
      <c r="M29" s="575">
        <v>4107</v>
      </c>
      <c r="N29" s="147">
        <f t="shared" si="4"/>
        <v>2.0492075042321387</v>
      </c>
      <c r="O29" s="565"/>
      <c r="P29" s="571">
        <v>0</v>
      </c>
      <c r="Q29" s="565">
        <v>307</v>
      </c>
      <c r="R29" s="170">
        <f t="shared" si="7"/>
        <v>0.1531791341123123</v>
      </c>
      <c r="S29" s="565"/>
      <c r="T29" s="571">
        <v>0</v>
      </c>
      <c r="U29" s="565"/>
      <c r="V29" s="571">
        <v>0</v>
      </c>
      <c r="W29" s="565"/>
      <c r="X29" s="571">
        <v>0</v>
      </c>
      <c r="Y29" s="565">
        <v>442</v>
      </c>
      <c r="Z29" s="170">
        <f t="shared" si="5"/>
        <v>0.22053803673499034</v>
      </c>
      <c r="AA29" s="565">
        <v>481</v>
      </c>
      <c r="AB29" s="170">
        <f t="shared" si="6"/>
        <v>0.23999727527043066</v>
      </c>
      <c r="AC29" s="565"/>
      <c r="AD29" s="571">
        <v>0</v>
      </c>
      <c r="AE29" s="576">
        <f t="shared" si="8"/>
        <v>5337</v>
      </c>
    </row>
    <row r="30" spans="1:31" ht="9.75" customHeight="1">
      <c r="A30" s="564"/>
      <c r="B30" s="564" t="s">
        <v>319</v>
      </c>
      <c r="C30" s="568">
        <v>15</v>
      </c>
      <c r="D30" s="568">
        <v>311</v>
      </c>
      <c r="E30" s="51">
        <v>0.0077</v>
      </c>
      <c r="F30" s="54">
        <f t="shared" si="11"/>
        <v>5.665573137212317</v>
      </c>
      <c r="G30" s="567">
        <v>3.63</v>
      </c>
      <c r="H30" s="568">
        <v>1990</v>
      </c>
      <c r="I30" s="576">
        <v>5259</v>
      </c>
      <c r="J30" s="50">
        <f t="shared" si="1"/>
        <v>3.2246053863528434</v>
      </c>
      <c r="K30" s="54">
        <f t="shared" si="2"/>
        <v>2.624003473278991</v>
      </c>
      <c r="L30" s="107">
        <f t="shared" si="12"/>
        <v>3.63</v>
      </c>
      <c r="M30" s="575">
        <v>4107</v>
      </c>
      <c r="N30" s="147">
        <f t="shared" si="4"/>
        <v>2.0492075042321387</v>
      </c>
      <c r="O30" s="565"/>
      <c r="P30" s="571">
        <v>0</v>
      </c>
      <c r="Q30" s="565">
        <v>307</v>
      </c>
      <c r="R30" s="170">
        <f t="shared" si="7"/>
        <v>0.1531791341123123</v>
      </c>
      <c r="S30" s="565"/>
      <c r="T30" s="571">
        <v>0</v>
      </c>
      <c r="U30" s="565"/>
      <c r="V30" s="571">
        <v>0</v>
      </c>
      <c r="W30" s="565"/>
      <c r="X30" s="571">
        <v>0</v>
      </c>
      <c r="Y30" s="565">
        <v>442</v>
      </c>
      <c r="Z30" s="170">
        <f t="shared" si="5"/>
        <v>0.22053803673499034</v>
      </c>
      <c r="AA30" s="565">
        <v>481</v>
      </c>
      <c r="AB30" s="170">
        <f t="shared" si="6"/>
        <v>0.23999727527043066</v>
      </c>
      <c r="AC30" s="565"/>
      <c r="AD30" s="571">
        <v>0</v>
      </c>
      <c r="AE30" s="576">
        <f t="shared" si="8"/>
        <v>5337</v>
      </c>
    </row>
    <row r="31" spans="1:31" ht="9.75" customHeight="1">
      <c r="A31" s="564"/>
      <c r="B31" s="564"/>
      <c r="C31" s="568">
        <v>15</v>
      </c>
      <c r="D31" s="568">
        <v>308</v>
      </c>
      <c r="E31" s="51">
        <v>0.0077</v>
      </c>
      <c r="F31" s="54">
        <f t="shared" si="11"/>
        <v>5.665573137212317</v>
      </c>
      <c r="G31" s="567">
        <v>3.63</v>
      </c>
      <c r="H31" s="568">
        <v>1990</v>
      </c>
      <c r="I31" s="576">
        <v>5259</v>
      </c>
      <c r="J31" s="50">
        <f t="shared" si="1"/>
        <v>3.2246053863528434</v>
      </c>
      <c r="K31" s="54">
        <f t="shared" si="2"/>
        <v>2.624003473278991</v>
      </c>
      <c r="L31" s="107">
        <f t="shared" si="12"/>
        <v>3.63</v>
      </c>
      <c r="M31" s="575">
        <v>4107</v>
      </c>
      <c r="N31" s="147">
        <f t="shared" si="4"/>
        <v>2.0492075042321387</v>
      </c>
      <c r="O31" s="565"/>
      <c r="P31" s="571">
        <v>0</v>
      </c>
      <c r="Q31" s="565">
        <v>307</v>
      </c>
      <c r="R31" s="170">
        <f t="shared" si="7"/>
        <v>0.1531791341123123</v>
      </c>
      <c r="S31" s="565"/>
      <c r="T31" s="571">
        <v>0</v>
      </c>
      <c r="U31" s="565"/>
      <c r="V31" s="571">
        <v>0</v>
      </c>
      <c r="W31" s="565"/>
      <c r="X31" s="571">
        <v>0</v>
      </c>
      <c r="Y31" s="565">
        <v>442</v>
      </c>
      <c r="Z31" s="170">
        <f t="shared" si="5"/>
        <v>0.22053803673499034</v>
      </c>
      <c r="AA31" s="565">
        <v>481</v>
      </c>
      <c r="AB31" s="170">
        <f t="shared" si="6"/>
        <v>0.23999727527043066</v>
      </c>
      <c r="AC31" s="565"/>
      <c r="AD31" s="571">
        <v>0</v>
      </c>
      <c r="AE31" s="576">
        <f t="shared" si="8"/>
        <v>5337</v>
      </c>
    </row>
    <row r="32" spans="1:31" ht="9.75" customHeight="1">
      <c r="A32" s="564"/>
      <c r="B32" s="564"/>
      <c r="C32" s="568">
        <v>15</v>
      </c>
      <c r="D32" s="568">
        <v>280</v>
      </c>
      <c r="E32" s="51">
        <v>0.0077</v>
      </c>
      <c r="F32" s="54">
        <f t="shared" si="11"/>
        <v>5.665573137212317</v>
      </c>
      <c r="G32" s="567">
        <v>3.63</v>
      </c>
      <c r="H32" s="568">
        <v>1990</v>
      </c>
      <c r="I32" s="576">
        <v>5259</v>
      </c>
      <c r="J32" s="50">
        <f t="shared" si="1"/>
        <v>3.2246053863528434</v>
      </c>
      <c r="K32" s="54">
        <f t="shared" si="2"/>
        <v>2.624003473278991</v>
      </c>
      <c r="L32" s="107">
        <f t="shared" si="12"/>
        <v>3.63</v>
      </c>
      <c r="M32" s="575">
        <v>4107</v>
      </c>
      <c r="N32" s="147">
        <f t="shared" si="4"/>
        <v>2.0492075042321387</v>
      </c>
      <c r="O32" s="565"/>
      <c r="P32" s="571">
        <v>0</v>
      </c>
      <c r="Q32" s="565">
        <v>307</v>
      </c>
      <c r="R32" s="170">
        <f t="shared" si="7"/>
        <v>0.1531791341123123</v>
      </c>
      <c r="S32" s="565"/>
      <c r="T32" s="571">
        <v>0</v>
      </c>
      <c r="U32" s="565"/>
      <c r="V32" s="571">
        <v>0</v>
      </c>
      <c r="W32" s="565"/>
      <c r="X32" s="571">
        <v>0</v>
      </c>
      <c r="Y32" s="565">
        <v>442</v>
      </c>
      <c r="Z32" s="170">
        <f t="shared" si="5"/>
        <v>0.22053803673499034</v>
      </c>
      <c r="AA32" s="565">
        <v>481</v>
      </c>
      <c r="AB32" s="170">
        <f t="shared" si="6"/>
        <v>0.23999727527043066</v>
      </c>
      <c r="AC32" s="565"/>
      <c r="AD32" s="571">
        <v>0</v>
      </c>
      <c r="AE32" s="576">
        <f t="shared" si="8"/>
        <v>5337</v>
      </c>
    </row>
    <row r="33" spans="1:31" ht="9.75" customHeight="1">
      <c r="A33" s="564"/>
      <c r="B33" s="564"/>
      <c r="C33" s="568">
        <v>15</v>
      </c>
      <c r="D33" s="568">
        <v>295</v>
      </c>
      <c r="E33" s="51">
        <v>0.0039</v>
      </c>
      <c r="F33" s="54">
        <f t="shared" si="11"/>
        <v>4.032095327076976</v>
      </c>
      <c r="G33" s="567">
        <v>3.63</v>
      </c>
      <c r="H33" s="568">
        <v>1990</v>
      </c>
      <c r="I33" s="576">
        <v>5259</v>
      </c>
      <c r="J33" s="50">
        <f t="shared" si="1"/>
        <v>3.2246053863528434</v>
      </c>
      <c r="K33" s="54">
        <f t="shared" si="2"/>
        <v>2.624003473278991</v>
      </c>
      <c r="L33" s="107">
        <f t="shared" si="12"/>
        <v>3.63</v>
      </c>
      <c r="M33" s="575">
        <v>4107</v>
      </c>
      <c r="N33" s="147">
        <f t="shared" si="4"/>
        <v>2.0492075042321387</v>
      </c>
      <c r="O33" s="565"/>
      <c r="P33" s="571">
        <v>0</v>
      </c>
      <c r="Q33" s="565">
        <v>307</v>
      </c>
      <c r="R33" s="170">
        <f t="shared" si="7"/>
        <v>0.1531791341123123</v>
      </c>
      <c r="S33" s="565"/>
      <c r="T33" s="571">
        <v>0</v>
      </c>
      <c r="U33" s="565"/>
      <c r="V33" s="571">
        <v>0</v>
      </c>
      <c r="W33" s="565"/>
      <c r="X33" s="571">
        <v>0</v>
      </c>
      <c r="Y33" s="565">
        <v>442</v>
      </c>
      <c r="Z33" s="170">
        <f t="shared" si="5"/>
        <v>0.22053803673499034</v>
      </c>
      <c r="AA33" s="565">
        <v>481</v>
      </c>
      <c r="AB33" s="170">
        <f t="shared" si="6"/>
        <v>0.23999727527043066</v>
      </c>
      <c r="AC33" s="565"/>
      <c r="AD33" s="571">
        <v>0</v>
      </c>
      <c r="AE33" s="576">
        <f t="shared" si="8"/>
        <v>5337</v>
      </c>
    </row>
    <row r="34" spans="1:31" ht="9.75" customHeight="1">
      <c r="A34" s="564"/>
      <c r="B34" s="564"/>
      <c r="C34" s="568">
        <v>15</v>
      </c>
      <c r="D34" s="568">
        <v>290</v>
      </c>
      <c r="E34" s="51">
        <v>0.0039</v>
      </c>
      <c r="F34" s="54">
        <f t="shared" si="11"/>
        <v>4.032095327076976</v>
      </c>
      <c r="G34" s="567">
        <v>3.63</v>
      </c>
      <c r="H34" s="568">
        <v>1990</v>
      </c>
      <c r="I34" s="576">
        <v>5259</v>
      </c>
      <c r="J34" s="50">
        <f t="shared" si="1"/>
        <v>3.2246053863528434</v>
      </c>
      <c r="K34" s="54">
        <f t="shared" si="2"/>
        <v>2.624003473278991</v>
      </c>
      <c r="L34" s="107">
        <f t="shared" si="12"/>
        <v>3.63</v>
      </c>
      <c r="M34" s="575">
        <v>4107</v>
      </c>
      <c r="N34" s="147">
        <f t="shared" si="4"/>
        <v>2.0492075042321387</v>
      </c>
      <c r="O34" s="565"/>
      <c r="P34" s="571">
        <v>0</v>
      </c>
      <c r="Q34" s="565">
        <v>307</v>
      </c>
      <c r="R34" s="170">
        <f t="shared" si="7"/>
        <v>0.1531791341123123</v>
      </c>
      <c r="S34" s="565"/>
      <c r="T34" s="571">
        <v>0</v>
      </c>
      <c r="U34" s="565"/>
      <c r="V34" s="571">
        <v>0</v>
      </c>
      <c r="W34" s="565"/>
      <c r="X34" s="571">
        <v>0</v>
      </c>
      <c r="Y34" s="565">
        <v>442</v>
      </c>
      <c r="Z34" s="170">
        <f t="shared" si="5"/>
        <v>0.22053803673499034</v>
      </c>
      <c r="AA34" s="565">
        <v>481</v>
      </c>
      <c r="AB34" s="170">
        <f t="shared" si="6"/>
        <v>0.23999727527043066</v>
      </c>
      <c r="AC34" s="565"/>
      <c r="AD34" s="571">
        <v>0</v>
      </c>
      <c r="AE34" s="576">
        <f t="shared" si="8"/>
        <v>5337</v>
      </c>
    </row>
    <row r="35" spans="1:31" ht="9.75" customHeight="1">
      <c r="A35" s="564"/>
      <c r="B35" s="564"/>
      <c r="C35" s="568">
        <v>15</v>
      </c>
      <c r="D35" s="568">
        <v>324</v>
      </c>
      <c r="E35" s="51">
        <v>0.0039</v>
      </c>
      <c r="F35" s="54">
        <f t="shared" si="11"/>
        <v>4.032095327076976</v>
      </c>
      <c r="G35" s="567">
        <v>3.63</v>
      </c>
      <c r="H35" s="568">
        <v>1990</v>
      </c>
      <c r="I35" s="576">
        <v>5259</v>
      </c>
      <c r="J35" s="50">
        <f t="shared" si="1"/>
        <v>3.2246053863528434</v>
      </c>
      <c r="K35" s="54">
        <f t="shared" si="2"/>
        <v>2.624003473278991</v>
      </c>
      <c r="L35" s="107">
        <f t="shared" si="12"/>
        <v>3.63</v>
      </c>
      <c r="M35" s="575">
        <v>4107</v>
      </c>
      <c r="N35" s="147">
        <f t="shared" si="4"/>
        <v>2.0492075042321387</v>
      </c>
      <c r="O35" s="565"/>
      <c r="P35" s="571">
        <v>0</v>
      </c>
      <c r="Q35" s="565">
        <v>307</v>
      </c>
      <c r="R35" s="170">
        <f t="shared" si="7"/>
        <v>0.1531791341123123</v>
      </c>
      <c r="S35" s="565"/>
      <c r="T35" s="571">
        <v>0</v>
      </c>
      <c r="U35" s="565"/>
      <c r="V35" s="571">
        <v>0</v>
      </c>
      <c r="W35" s="565"/>
      <c r="X35" s="571">
        <v>0</v>
      </c>
      <c r="Y35" s="565">
        <v>442</v>
      </c>
      <c r="Z35" s="170">
        <f t="shared" si="5"/>
        <v>0.22053803673499034</v>
      </c>
      <c r="AA35" s="565">
        <v>481</v>
      </c>
      <c r="AB35" s="170">
        <f t="shared" si="6"/>
        <v>0.23999727527043066</v>
      </c>
      <c r="AC35" s="565"/>
      <c r="AD35" s="571">
        <v>0</v>
      </c>
      <c r="AE35" s="576">
        <f t="shared" si="8"/>
        <v>5337</v>
      </c>
    </row>
    <row r="36" spans="1:31" ht="9.75" customHeight="1">
      <c r="A36" s="564"/>
      <c r="B36" s="564" t="s">
        <v>320</v>
      </c>
      <c r="C36" s="568">
        <v>15</v>
      </c>
      <c r="D36" s="568">
        <v>225</v>
      </c>
      <c r="E36" s="51">
        <v>0.0039</v>
      </c>
      <c r="F36" s="54">
        <f t="shared" si="11"/>
        <v>4.032095327076976</v>
      </c>
      <c r="G36" s="567">
        <v>3.63</v>
      </c>
      <c r="H36" s="568">
        <v>1990</v>
      </c>
      <c r="I36" s="576">
        <v>5259</v>
      </c>
      <c r="J36" s="50">
        <f t="shared" si="1"/>
        <v>3.2246053863528434</v>
      </c>
      <c r="K36" s="54">
        <f t="shared" si="2"/>
        <v>2.624003473278991</v>
      </c>
      <c r="L36" s="107">
        <f t="shared" si="12"/>
        <v>3.63</v>
      </c>
      <c r="M36" s="575">
        <v>4107</v>
      </c>
      <c r="N36" s="147">
        <f t="shared" si="4"/>
        <v>2.0492075042321387</v>
      </c>
      <c r="O36" s="565"/>
      <c r="P36" s="571">
        <v>0</v>
      </c>
      <c r="Q36" s="565">
        <v>307</v>
      </c>
      <c r="R36" s="170">
        <f t="shared" si="7"/>
        <v>0.1531791341123123</v>
      </c>
      <c r="S36" s="565"/>
      <c r="T36" s="571">
        <v>0</v>
      </c>
      <c r="U36" s="565"/>
      <c r="V36" s="571">
        <v>0</v>
      </c>
      <c r="W36" s="565"/>
      <c r="X36" s="571">
        <v>0</v>
      </c>
      <c r="Y36" s="565">
        <v>442</v>
      </c>
      <c r="Z36" s="170">
        <f t="shared" si="5"/>
        <v>0.22053803673499034</v>
      </c>
      <c r="AA36" s="565">
        <v>481</v>
      </c>
      <c r="AB36" s="170">
        <f t="shared" si="6"/>
        <v>0.23999727527043066</v>
      </c>
      <c r="AC36" s="565"/>
      <c r="AD36" s="571">
        <v>0</v>
      </c>
      <c r="AE36" s="576">
        <f t="shared" si="8"/>
        <v>5337</v>
      </c>
    </row>
    <row r="37" spans="1:31" ht="9.75" customHeight="1">
      <c r="A37" s="564"/>
      <c r="B37" s="564"/>
      <c r="C37" s="568">
        <v>15</v>
      </c>
      <c r="D37" s="568">
        <v>222</v>
      </c>
      <c r="E37" s="51">
        <v>0.0039</v>
      </c>
      <c r="F37" s="54">
        <f t="shared" si="11"/>
        <v>4.032095327076976</v>
      </c>
      <c r="G37" s="567">
        <v>3.63</v>
      </c>
      <c r="H37" s="568">
        <v>1990</v>
      </c>
      <c r="I37" s="576">
        <v>5259</v>
      </c>
      <c r="J37" s="50">
        <f t="shared" si="1"/>
        <v>3.2246053863528434</v>
      </c>
      <c r="K37" s="54">
        <f t="shared" si="2"/>
        <v>2.624003473278991</v>
      </c>
      <c r="L37" s="107">
        <f t="shared" si="12"/>
        <v>3.63</v>
      </c>
      <c r="M37" s="575">
        <v>4107</v>
      </c>
      <c r="N37" s="147">
        <f t="shared" si="4"/>
        <v>2.0492075042321387</v>
      </c>
      <c r="O37" s="565"/>
      <c r="P37" s="571">
        <v>0</v>
      </c>
      <c r="Q37" s="565">
        <v>307</v>
      </c>
      <c r="R37" s="170">
        <f t="shared" si="7"/>
        <v>0.1531791341123123</v>
      </c>
      <c r="S37" s="565"/>
      <c r="T37" s="571">
        <v>0</v>
      </c>
      <c r="U37" s="565"/>
      <c r="V37" s="571">
        <v>0</v>
      </c>
      <c r="W37" s="565"/>
      <c r="X37" s="571">
        <v>0</v>
      </c>
      <c r="Y37" s="565">
        <v>442</v>
      </c>
      <c r="Z37" s="170">
        <f t="shared" si="5"/>
        <v>0.22053803673499034</v>
      </c>
      <c r="AA37" s="565">
        <v>481</v>
      </c>
      <c r="AB37" s="170">
        <f t="shared" si="6"/>
        <v>0.23999727527043066</v>
      </c>
      <c r="AC37" s="565"/>
      <c r="AD37" s="571">
        <v>0</v>
      </c>
      <c r="AE37" s="576">
        <f t="shared" si="8"/>
        <v>5337</v>
      </c>
    </row>
    <row r="38" spans="1:31" ht="9.75" customHeight="1">
      <c r="A38" s="564"/>
      <c r="B38" s="564"/>
      <c r="C38" s="568"/>
      <c r="D38" s="568"/>
      <c r="E38" s="51"/>
      <c r="F38" s="54"/>
      <c r="G38" s="567"/>
      <c r="H38" s="568"/>
      <c r="I38" s="576"/>
      <c r="J38" s="50"/>
      <c r="K38" s="54"/>
      <c r="L38" s="107"/>
      <c r="M38" s="575"/>
      <c r="N38" s="147"/>
      <c r="O38" s="565"/>
      <c r="P38" s="571"/>
      <c r="Q38" s="565"/>
      <c r="R38" s="170"/>
      <c r="S38" s="565"/>
      <c r="T38" s="571"/>
      <c r="U38" s="565"/>
      <c r="V38" s="571"/>
      <c r="W38" s="565"/>
      <c r="X38" s="571"/>
      <c r="Y38" s="565"/>
      <c r="Z38" s="170"/>
      <c r="AA38" s="565"/>
      <c r="AB38" s="170"/>
      <c r="AC38" s="565"/>
      <c r="AD38" s="571"/>
      <c r="AE38" s="576"/>
    </row>
    <row r="39" spans="1:31" ht="9.75" customHeight="1">
      <c r="A39" s="564"/>
      <c r="B39" s="564" t="s">
        <v>321</v>
      </c>
      <c r="C39" s="568">
        <v>15</v>
      </c>
      <c r="D39" s="568">
        <v>321</v>
      </c>
      <c r="E39" s="51">
        <v>0.0108</v>
      </c>
      <c r="F39" s="54">
        <f>(1.486/0.013)*((3.14*($C39*$C39)/4)/144)*SQRT($E39)*POWER($C39/12/4,2/3)</f>
        <v>6.7098122073852835</v>
      </c>
      <c r="G39" s="567">
        <v>3.78</v>
      </c>
      <c r="H39" s="568">
        <v>1990</v>
      </c>
      <c r="I39" s="576">
        <f>I$40</f>
        <v>5720</v>
      </c>
      <c r="J39" s="50">
        <f t="shared" si="1"/>
        <v>3.190356996042421</v>
      </c>
      <c r="K39" s="54">
        <f t="shared" si="2"/>
        <v>2.823709214906827</v>
      </c>
      <c r="L39" s="107">
        <f aca="true" t="shared" si="13" ref="L39:L67">IF(G39&gt;F39,F39,G39)</f>
        <v>3.78</v>
      </c>
      <c r="M39" s="575">
        <f>M$40</f>
        <v>4568</v>
      </c>
      <c r="N39" s="147">
        <f t="shared" si="4"/>
        <v>2.255018128268249</v>
      </c>
      <c r="O39" s="565"/>
      <c r="P39" s="571">
        <v>0</v>
      </c>
      <c r="Q39" s="565">
        <f>Q$40</f>
        <v>307</v>
      </c>
      <c r="R39" s="170">
        <f t="shared" si="7"/>
        <v>0.15155222534552373</v>
      </c>
      <c r="S39" s="565"/>
      <c r="T39" s="571">
        <v>0</v>
      </c>
      <c r="U39" s="565"/>
      <c r="V39" s="571">
        <v>0</v>
      </c>
      <c r="W39" s="565"/>
      <c r="X39" s="571">
        <v>0</v>
      </c>
      <c r="Y39" s="565">
        <v>442</v>
      </c>
      <c r="Z39" s="170">
        <f t="shared" si="5"/>
        <v>0.21819571206098207</v>
      </c>
      <c r="AA39" s="565">
        <v>481</v>
      </c>
      <c r="AB39" s="170">
        <f t="shared" si="6"/>
        <v>0.23744827488989223</v>
      </c>
      <c r="AC39" s="565"/>
      <c r="AD39" s="571">
        <v>0</v>
      </c>
      <c r="AE39" s="576">
        <f t="shared" si="8"/>
        <v>5798</v>
      </c>
    </row>
    <row r="40" spans="1:31" ht="9.75" customHeight="1">
      <c r="A40" s="564"/>
      <c r="B40" s="564"/>
      <c r="C40" s="568">
        <v>15</v>
      </c>
      <c r="D40" s="568">
        <v>69</v>
      </c>
      <c r="E40" s="51">
        <v>0.0108</v>
      </c>
      <c r="F40" s="54">
        <f>(1.486/0.013)*((3.14*($C40*$C40)/4)/144)*SQRT($E40)*POWER($C40/12/4,2/3)</f>
        <v>6.7098122073852835</v>
      </c>
      <c r="G40" s="567">
        <v>3.78</v>
      </c>
      <c r="H40" s="568">
        <v>1990</v>
      </c>
      <c r="I40" s="576">
        <v>5720</v>
      </c>
      <c r="J40" s="50">
        <f t="shared" si="1"/>
        <v>3.190356996042421</v>
      </c>
      <c r="K40" s="54">
        <f t="shared" si="2"/>
        <v>2.823709214906827</v>
      </c>
      <c r="L40" s="107">
        <f t="shared" si="13"/>
        <v>3.78</v>
      </c>
      <c r="M40" s="575">
        <v>4568</v>
      </c>
      <c r="N40" s="147">
        <f t="shared" si="4"/>
        <v>2.255018128268249</v>
      </c>
      <c r="O40" s="565"/>
      <c r="P40" s="571">
        <v>0</v>
      </c>
      <c r="Q40" s="565">
        <v>307</v>
      </c>
      <c r="R40" s="170">
        <f t="shared" si="7"/>
        <v>0.15155222534552373</v>
      </c>
      <c r="S40" s="565"/>
      <c r="T40" s="571">
        <v>0</v>
      </c>
      <c r="U40" s="565"/>
      <c r="V40" s="571">
        <v>0</v>
      </c>
      <c r="W40" s="565"/>
      <c r="X40" s="571">
        <v>0</v>
      </c>
      <c r="Y40" s="565">
        <v>442</v>
      </c>
      <c r="Z40" s="170">
        <f t="shared" si="5"/>
        <v>0.21819571206098207</v>
      </c>
      <c r="AA40" s="565">
        <v>481</v>
      </c>
      <c r="AB40" s="170">
        <f t="shared" si="6"/>
        <v>0.23744827488989223</v>
      </c>
      <c r="AC40" s="565"/>
      <c r="AD40" s="571">
        <v>0</v>
      </c>
      <c r="AE40" s="576">
        <f t="shared" si="8"/>
        <v>5798</v>
      </c>
    </row>
    <row r="41" spans="1:31" ht="9.75" customHeight="1">
      <c r="A41" s="564"/>
      <c r="B41" s="564" t="s">
        <v>322</v>
      </c>
      <c r="C41" s="568">
        <v>15</v>
      </c>
      <c r="D41" s="568">
        <v>423</v>
      </c>
      <c r="E41" s="51">
        <v>0.0108</v>
      </c>
      <c r="F41" s="54">
        <f>(1.486/0.013)*((3.14*($C41*$C41)/4)/144)*SQRT($E41)*POWER($C41/12/4,2/3)</f>
        <v>6.7098122073852835</v>
      </c>
      <c r="G41" s="567">
        <v>3.78</v>
      </c>
      <c r="H41" s="568">
        <v>1990</v>
      </c>
      <c r="I41" s="576">
        <v>5720</v>
      </c>
      <c r="J41" s="50">
        <f t="shared" si="1"/>
        <v>3.190356996042421</v>
      </c>
      <c r="K41" s="54">
        <f t="shared" si="2"/>
        <v>2.823709214906827</v>
      </c>
      <c r="L41" s="107">
        <f t="shared" si="13"/>
        <v>3.78</v>
      </c>
      <c r="M41" s="575">
        <v>4568</v>
      </c>
      <c r="N41" s="147">
        <f t="shared" si="4"/>
        <v>2.255018128268249</v>
      </c>
      <c r="O41" s="565"/>
      <c r="P41" s="571">
        <v>0</v>
      </c>
      <c r="Q41" s="565">
        <v>307</v>
      </c>
      <c r="R41" s="170">
        <f t="shared" si="7"/>
        <v>0.15155222534552373</v>
      </c>
      <c r="S41" s="565"/>
      <c r="T41" s="571">
        <v>0</v>
      </c>
      <c r="U41" s="565"/>
      <c r="V41" s="571">
        <v>0</v>
      </c>
      <c r="W41" s="565"/>
      <c r="X41" s="571">
        <v>0</v>
      </c>
      <c r="Y41" s="565">
        <v>442</v>
      </c>
      <c r="Z41" s="170">
        <f t="shared" si="5"/>
        <v>0.21819571206098207</v>
      </c>
      <c r="AA41" s="565">
        <v>481</v>
      </c>
      <c r="AB41" s="170">
        <f t="shared" si="6"/>
        <v>0.23744827488989223</v>
      </c>
      <c r="AC41" s="565"/>
      <c r="AD41" s="571">
        <v>0</v>
      </c>
      <c r="AE41" s="576">
        <f t="shared" si="8"/>
        <v>5798</v>
      </c>
    </row>
    <row r="42" spans="1:31" ht="9.75" customHeight="1">
      <c r="A42" s="564"/>
      <c r="B42" s="564" t="s">
        <v>323</v>
      </c>
      <c r="C42" s="568">
        <v>15</v>
      </c>
      <c r="D42" s="568">
        <v>221</v>
      </c>
      <c r="E42" s="51">
        <v>0.0108</v>
      </c>
      <c r="F42" s="54">
        <f>(1.486/0.013)*((3.14*($C42*$C42)/4)/144)*SQRT($E42)*POWER($C42/12/4,2/3)</f>
        <v>6.7098122073852835</v>
      </c>
      <c r="G42" s="567">
        <v>3.78</v>
      </c>
      <c r="H42" s="568">
        <v>1990</v>
      </c>
      <c r="I42" s="576">
        <v>5720</v>
      </c>
      <c r="J42" s="50">
        <f t="shared" si="1"/>
        <v>3.190356996042421</v>
      </c>
      <c r="K42" s="54">
        <f t="shared" si="2"/>
        <v>2.823709214906827</v>
      </c>
      <c r="L42" s="107">
        <f t="shared" si="13"/>
        <v>3.78</v>
      </c>
      <c r="M42" s="575">
        <v>4568</v>
      </c>
      <c r="N42" s="147">
        <f t="shared" si="4"/>
        <v>2.255018128268249</v>
      </c>
      <c r="O42" s="565"/>
      <c r="P42" s="571">
        <v>0</v>
      </c>
      <c r="Q42" s="565">
        <v>307</v>
      </c>
      <c r="R42" s="170">
        <f t="shared" si="7"/>
        <v>0.15155222534552373</v>
      </c>
      <c r="S42" s="565"/>
      <c r="T42" s="571">
        <v>0</v>
      </c>
      <c r="U42" s="565"/>
      <c r="V42" s="571">
        <v>0</v>
      </c>
      <c r="W42" s="565"/>
      <c r="X42" s="571">
        <v>0</v>
      </c>
      <c r="Y42" s="565">
        <v>442</v>
      </c>
      <c r="Z42" s="170">
        <f t="shared" si="5"/>
        <v>0.21819571206098207</v>
      </c>
      <c r="AA42" s="565">
        <v>481</v>
      </c>
      <c r="AB42" s="170">
        <f t="shared" si="6"/>
        <v>0.23744827488989223</v>
      </c>
      <c r="AC42" s="565"/>
      <c r="AD42" s="571">
        <v>0</v>
      </c>
      <c r="AE42" s="576">
        <f t="shared" si="8"/>
        <v>5798</v>
      </c>
    </row>
    <row r="43" spans="1:31" ht="9.75" customHeight="1">
      <c r="A43" s="564"/>
      <c r="B43" s="564"/>
      <c r="C43" s="568"/>
      <c r="D43" s="568"/>
      <c r="E43" s="51"/>
      <c r="F43" s="54"/>
      <c r="G43" s="567"/>
      <c r="H43" s="568"/>
      <c r="I43" s="576"/>
      <c r="J43" s="50"/>
      <c r="K43" s="54"/>
      <c r="L43" s="107"/>
      <c r="M43" s="575"/>
      <c r="N43" s="147"/>
      <c r="O43" s="565"/>
      <c r="P43" s="571"/>
      <c r="Q43" s="565"/>
      <c r="R43" s="170"/>
      <c r="S43" s="565"/>
      <c r="T43" s="571"/>
      <c r="U43" s="565"/>
      <c r="V43" s="571"/>
      <c r="W43" s="565"/>
      <c r="X43" s="571"/>
      <c r="Y43" s="565"/>
      <c r="Z43" s="170"/>
      <c r="AA43" s="565"/>
      <c r="AB43" s="170"/>
      <c r="AC43" s="565"/>
      <c r="AD43" s="571"/>
      <c r="AE43" s="576"/>
    </row>
    <row r="44" spans="1:31" ht="9.75" customHeight="1">
      <c r="A44" s="564" t="s">
        <v>305</v>
      </c>
      <c r="B44" s="564" t="s">
        <v>317</v>
      </c>
      <c r="C44" s="568">
        <v>24</v>
      </c>
      <c r="D44" s="568">
        <v>61</v>
      </c>
      <c r="E44" s="51">
        <v>0.003</v>
      </c>
      <c r="F44" s="54">
        <f aca="true" t="shared" si="14" ref="F44:F49">(1.486/0.013)*((3.14*($C44*$C44)/4)/144)*SQRT($E44)*POWER($C44/12/4,2/3)</f>
        <v>12.384516861467121</v>
      </c>
      <c r="G44" s="567">
        <v>5.55</v>
      </c>
      <c r="H44" s="568">
        <v>1990</v>
      </c>
      <c r="I44" s="576">
        <v>9588</v>
      </c>
      <c r="J44" s="50">
        <f t="shared" si="1"/>
        <v>2.972817511439596</v>
      </c>
      <c r="K44" s="54">
        <f t="shared" si="2"/>
        <v>4.410430020128189</v>
      </c>
      <c r="L44" s="107">
        <f t="shared" si="13"/>
        <v>5.55</v>
      </c>
      <c r="M44" s="575">
        <f>M$46</f>
        <v>8428</v>
      </c>
      <c r="N44" s="147">
        <f t="shared" si="4"/>
        <v>3.87683606692119</v>
      </c>
      <c r="O44" s="565"/>
      <c r="P44" s="571">
        <v>0</v>
      </c>
      <c r="Q44" s="565">
        <f>Q$46</f>
        <v>315</v>
      </c>
      <c r="R44" s="170">
        <f t="shared" si="7"/>
        <v>0.14489835798293485</v>
      </c>
      <c r="S44" s="565"/>
      <c r="T44" s="571">
        <v>0</v>
      </c>
      <c r="U44" s="565"/>
      <c r="V44" s="571">
        <v>0</v>
      </c>
      <c r="W44" s="565"/>
      <c r="X44" s="571">
        <v>0</v>
      </c>
      <c r="Y44" s="565">
        <v>442</v>
      </c>
      <c r="Z44" s="170">
        <f t="shared" si="5"/>
        <v>0.20331769596335617</v>
      </c>
      <c r="AA44" s="565">
        <v>481</v>
      </c>
      <c r="AB44" s="170">
        <f t="shared" si="6"/>
        <v>0.22125749266600528</v>
      </c>
      <c r="AC44" s="565"/>
      <c r="AD44" s="571">
        <v>0</v>
      </c>
      <c r="AE44" s="576">
        <f t="shared" si="8"/>
        <v>9666</v>
      </c>
    </row>
    <row r="45" spans="1:31" ht="9.75" customHeight="1">
      <c r="A45" s="564"/>
      <c r="B45" s="564"/>
      <c r="C45" s="568">
        <v>24</v>
      </c>
      <c r="D45" s="568">
        <v>130</v>
      </c>
      <c r="E45" s="51">
        <v>0.003</v>
      </c>
      <c r="F45" s="54">
        <f t="shared" si="14"/>
        <v>12.384516861467121</v>
      </c>
      <c r="G45" s="567">
        <v>5.55</v>
      </c>
      <c r="H45" s="568">
        <v>1990</v>
      </c>
      <c r="I45" s="576">
        <v>9588</v>
      </c>
      <c r="J45" s="50">
        <f t="shared" si="1"/>
        <v>2.972817511439596</v>
      </c>
      <c r="K45" s="54">
        <f t="shared" si="2"/>
        <v>4.410430020128189</v>
      </c>
      <c r="L45" s="107">
        <f t="shared" si="13"/>
        <v>5.55</v>
      </c>
      <c r="M45" s="575">
        <f>M$46</f>
        <v>8428</v>
      </c>
      <c r="N45" s="147">
        <f t="shared" si="4"/>
        <v>3.87683606692119</v>
      </c>
      <c r="O45" s="565"/>
      <c r="P45" s="571">
        <v>0</v>
      </c>
      <c r="Q45" s="565">
        <f>Q$46</f>
        <v>315</v>
      </c>
      <c r="R45" s="170">
        <f t="shared" si="7"/>
        <v>0.14489835798293485</v>
      </c>
      <c r="S45" s="565"/>
      <c r="T45" s="571">
        <v>0</v>
      </c>
      <c r="U45" s="565"/>
      <c r="V45" s="571">
        <v>0</v>
      </c>
      <c r="W45" s="565"/>
      <c r="X45" s="571">
        <v>0</v>
      </c>
      <c r="Y45" s="565">
        <v>442</v>
      </c>
      <c r="Z45" s="170">
        <f t="shared" si="5"/>
        <v>0.20331769596335617</v>
      </c>
      <c r="AA45" s="565">
        <v>481</v>
      </c>
      <c r="AB45" s="170">
        <f t="shared" si="6"/>
        <v>0.22125749266600528</v>
      </c>
      <c r="AC45" s="565"/>
      <c r="AD45" s="571">
        <v>0</v>
      </c>
      <c r="AE45" s="576">
        <f t="shared" si="8"/>
        <v>9666</v>
      </c>
    </row>
    <row r="46" spans="1:31" ht="9.75" customHeight="1">
      <c r="A46" s="564" t="s">
        <v>306</v>
      </c>
      <c r="B46" s="564" t="s">
        <v>307</v>
      </c>
      <c r="C46" s="568">
        <v>24</v>
      </c>
      <c r="D46" s="568">
        <v>295</v>
      </c>
      <c r="E46" s="51">
        <v>0.003</v>
      </c>
      <c r="F46" s="54">
        <f t="shared" si="14"/>
        <v>12.384516861467121</v>
      </c>
      <c r="G46" s="567">
        <v>5.55</v>
      </c>
      <c r="H46" s="568">
        <v>1990</v>
      </c>
      <c r="I46" s="576">
        <v>9588</v>
      </c>
      <c r="J46" s="50">
        <f t="shared" si="1"/>
        <v>2.972817511439596</v>
      </c>
      <c r="K46" s="54">
        <f t="shared" si="2"/>
        <v>4.410430020128189</v>
      </c>
      <c r="L46" s="107">
        <f t="shared" si="13"/>
        <v>5.55</v>
      </c>
      <c r="M46" s="575">
        <v>8428</v>
      </c>
      <c r="N46" s="147">
        <f t="shared" si="4"/>
        <v>3.87683606692119</v>
      </c>
      <c r="O46" s="565"/>
      <c r="P46" s="571">
        <v>0</v>
      </c>
      <c r="Q46" s="565">
        <v>315</v>
      </c>
      <c r="R46" s="170">
        <f t="shared" si="7"/>
        <v>0.14489835798293485</v>
      </c>
      <c r="S46" s="565"/>
      <c r="T46" s="571">
        <v>0</v>
      </c>
      <c r="U46" s="565"/>
      <c r="V46" s="571">
        <v>0</v>
      </c>
      <c r="W46" s="565"/>
      <c r="X46" s="571">
        <v>0</v>
      </c>
      <c r="Y46" s="565">
        <v>442</v>
      </c>
      <c r="Z46" s="170">
        <f t="shared" si="5"/>
        <v>0.20331769596335617</v>
      </c>
      <c r="AA46" s="565">
        <v>481</v>
      </c>
      <c r="AB46" s="170">
        <f t="shared" si="6"/>
        <v>0.22125749266600528</v>
      </c>
      <c r="AC46" s="565"/>
      <c r="AD46" s="571">
        <v>0</v>
      </c>
      <c r="AE46" s="576">
        <f t="shared" si="8"/>
        <v>9666</v>
      </c>
    </row>
    <row r="47" spans="1:31" ht="9.75" customHeight="1">
      <c r="A47" s="564"/>
      <c r="B47" s="564" t="s">
        <v>308</v>
      </c>
      <c r="C47" s="568">
        <v>24</v>
      </c>
      <c r="D47" s="568">
        <v>412</v>
      </c>
      <c r="E47" s="51">
        <v>0.003</v>
      </c>
      <c r="F47" s="54">
        <f t="shared" si="14"/>
        <v>12.384516861467121</v>
      </c>
      <c r="G47" s="567">
        <v>5.55</v>
      </c>
      <c r="H47" s="568">
        <v>1990</v>
      </c>
      <c r="I47" s="576">
        <v>9588</v>
      </c>
      <c r="J47" s="50">
        <f t="shared" si="1"/>
        <v>2.972817511439596</v>
      </c>
      <c r="K47" s="54">
        <f t="shared" si="2"/>
        <v>4.410430020128189</v>
      </c>
      <c r="L47" s="107">
        <f t="shared" si="13"/>
        <v>5.55</v>
      </c>
      <c r="M47" s="575">
        <v>8428</v>
      </c>
      <c r="N47" s="147">
        <f t="shared" si="4"/>
        <v>3.87683606692119</v>
      </c>
      <c r="O47" s="565"/>
      <c r="P47" s="571">
        <v>0</v>
      </c>
      <c r="Q47" s="565">
        <v>315</v>
      </c>
      <c r="R47" s="170">
        <f t="shared" si="7"/>
        <v>0.14489835798293485</v>
      </c>
      <c r="S47" s="565"/>
      <c r="T47" s="571">
        <v>0</v>
      </c>
      <c r="U47" s="565"/>
      <c r="V47" s="571">
        <v>0</v>
      </c>
      <c r="W47" s="565"/>
      <c r="X47" s="571">
        <v>0</v>
      </c>
      <c r="Y47" s="565">
        <v>442</v>
      </c>
      <c r="Z47" s="170">
        <f t="shared" si="5"/>
        <v>0.20331769596335617</v>
      </c>
      <c r="AA47" s="565">
        <v>481</v>
      </c>
      <c r="AB47" s="170">
        <f t="shared" si="6"/>
        <v>0.22125749266600528</v>
      </c>
      <c r="AC47" s="565"/>
      <c r="AD47" s="571">
        <v>0</v>
      </c>
      <c r="AE47" s="576">
        <f t="shared" si="8"/>
        <v>9666</v>
      </c>
    </row>
    <row r="48" spans="1:31" ht="9.75" customHeight="1">
      <c r="A48" s="564"/>
      <c r="B48" s="564" t="s">
        <v>487</v>
      </c>
      <c r="C48" s="568">
        <v>24</v>
      </c>
      <c r="D48" s="568">
        <v>297</v>
      </c>
      <c r="E48" s="51">
        <v>0.003</v>
      </c>
      <c r="F48" s="54">
        <f t="shared" si="14"/>
        <v>12.384516861467121</v>
      </c>
      <c r="G48" s="567">
        <v>5.55</v>
      </c>
      <c r="H48" s="568">
        <v>1990</v>
      </c>
      <c r="I48" s="576">
        <v>10306</v>
      </c>
      <c r="J48" s="50">
        <f t="shared" si="1"/>
        <v>2.941667876501632</v>
      </c>
      <c r="K48" s="54">
        <f t="shared" si="2"/>
        <v>4.691032434520731</v>
      </c>
      <c r="L48" s="107">
        <f t="shared" si="13"/>
        <v>5.55</v>
      </c>
      <c r="M48" s="575">
        <v>9146</v>
      </c>
      <c r="N48" s="147">
        <f t="shared" si="4"/>
        <v>4.163029560074385</v>
      </c>
      <c r="O48" s="565"/>
      <c r="P48" s="571">
        <v>0</v>
      </c>
      <c r="Q48" s="565">
        <v>315</v>
      </c>
      <c r="R48" s="170">
        <f t="shared" si="7"/>
        <v>0.14338009090568893</v>
      </c>
      <c r="S48" s="565"/>
      <c r="T48" s="571">
        <v>0</v>
      </c>
      <c r="U48" s="565"/>
      <c r="V48" s="571">
        <v>0</v>
      </c>
      <c r="W48" s="565"/>
      <c r="X48" s="571">
        <v>0</v>
      </c>
      <c r="Y48" s="565">
        <v>442</v>
      </c>
      <c r="Z48" s="170">
        <f t="shared" si="5"/>
        <v>0.20118730215972863</v>
      </c>
      <c r="AA48" s="565">
        <v>481</v>
      </c>
      <c r="AB48" s="170">
        <f t="shared" si="6"/>
        <v>0.2189391229385282</v>
      </c>
      <c r="AC48" s="565"/>
      <c r="AD48" s="571">
        <v>0</v>
      </c>
      <c r="AE48" s="576">
        <f t="shared" si="8"/>
        <v>10384</v>
      </c>
    </row>
    <row r="49" spans="1:31" ht="9.75" customHeight="1">
      <c r="A49" s="564"/>
      <c r="B49" s="564" t="s">
        <v>309</v>
      </c>
      <c r="C49" s="568">
        <v>24</v>
      </c>
      <c r="D49" s="568">
        <v>23</v>
      </c>
      <c r="E49" s="51">
        <v>0.0008</v>
      </c>
      <c r="F49" s="54">
        <f t="shared" si="14"/>
        <v>6.395337007371613</v>
      </c>
      <c r="G49" s="567">
        <v>5.78</v>
      </c>
      <c r="H49" s="568">
        <v>1990</v>
      </c>
      <c r="I49" s="576">
        <v>10306</v>
      </c>
      <c r="J49" s="50">
        <f t="shared" si="1"/>
        <v>2.941667876501632</v>
      </c>
      <c r="K49" s="54">
        <f t="shared" si="2"/>
        <v>4.691032434520731</v>
      </c>
      <c r="L49" s="107">
        <f t="shared" si="13"/>
        <v>5.78</v>
      </c>
      <c r="M49" s="575">
        <v>9146</v>
      </c>
      <c r="N49" s="147">
        <f t="shared" si="4"/>
        <v>4.163029560074385</v>
      </c>
      <c r="O49" s="565"/>
      <c r="P49" s="571">
        <v>0</v>
      </c>
      <c r="Q49" s="565">
        <v>315</v>
      </c>
      <c r="R49" s="170">
        <f t="shared" si="7"/>
        <v>0.14338009090568893</v>
      </c>
      <c r="S49" s="565"/>
      <c r="T49" s="571">
        <v>0</v>
      </c>
      <c r="U49" s="565"/>
      <c r="V49" s="571">
        <v>0</v>
      </c>
      <c r="W49" s="565"/>
      <c r="X49" s="571">
        <v>0</v>
      </c>
      <c r="Y49" s="565">
        <v>442</v>
      </c>
      <c r="Z49" s="170">
        <f t="shared" si="5"/>
        <v>0.20118730215972863</v>
      </c>
      <c r="AA49" s="565">
        <v>481</v>
      </c>
      <c r="AB49" s="170">
        <f t="shared" si="6"/>
        <v>0.2189391229385282</v>
      </c>
      <c r="AC49" s="565"/>
      <c r="AD49" s="571">
        <v>0</v>
      </c>
      <c r="AE49" s="576">
        <f t="shared" si="8"/>
        <v>10384</v>
      </c>
    </row>
    <row r="50" spans="1:31" ht="9.75" customHeight="1">
      <c r="A50" s="564"/>
      <c r="B50" s="564"/>
      <c r="C50" s="568"/>
      <c r="D50" s="568"/>
      <c r="E50" s="51"/>
      <c r="F50" s="54"/>
      <c r="G50" s="567"/>
      <c r="H50" s="568"/>
      <c r="I50" s="576"/>
      <c r="J50" s="50"/>
      <c r="K50" s="54"/>
      <c r="L50" s="107"/>
      <c r="M50" s="575"/>
      <c r="N50" s="147"/>
      <c r="O50" s="565"/>
      <c r="P50" s="571"/>
      <c r="Q50" s="565"/>
      <c r="R50" s="170"/>
      <c r="S50" s="565"/>
      <c r="T50" s="571"/>
      <c r="U50" s="565"/>
      <c r="V50" s="571"/>
      <c r="W50" s="565"/>
      <c r="X50" s="571"/>
      <c r="Y50" s="565"/>
      <c r="Z50" s="170"/>
      <c r="AA50" s="565"/>
      <c r="AB50" s="170"/>
      <c r="AC50" s="565"/>
      <c r="AD50" s="571"/>
      <c r="AE50" s="576"/>
    </row>
    <row r="51" spans="1:31" ht="9.75" customHeight="1">
      <c r="A51" s="564" t="s">
        <v>306</v>
      </c>
      <c r="B51" s="564" t="s">
        <v>310</v>
      </c>
      <c r="C51" s="568">
        <v>24</v>
      </c>
      <c r="D51" s="568">
        <v>268</v>
      </c>
      <c r="E51" s="51">
        <v>0.0008</v>
      </c>
      <c r="F51" s="54">
        <f>(1.486/0.013)*((3.14*($C51*$C51)/4)/144)*SQRT($E51)*POWER($C51/12/4,2/3)</f>
        <v>6.395337007371613</v>
      </c>
      <c r="G51" s="567">
        <v>5.78</v>
      </c>
      <c r="H51" s="568">
        <v>1990</v>
      </c>
      <c r="I51" s="576">
        <v>10306</v>
      </c>
      <c r="J51" s="50">
        <f t="shared" si="1"/>
        <v>2.941667876501632</v>
      </c>
      <c r="K51" s="54">
        <f t="shared" si="2"/>
        <v>4.691032434520731</v>
      </c>
      <c r="L51" s="107">
        <f t="shared" si="13"/>
        <v>5.78</v>
      </c>
      <c r="M51" s="575">
        <v>9146</v>
      </c>
      <c r="N51" s="147">
        <f t="shared" si="4"/>
        <v>4.163029560074385</v>
      </c>
      <c r="O51" s="565"/>
      <c r="P51" s="571">
        <v>0</v>
      </c>
      <c r="Q51" s="565">
        <v>315</v>
      </c>
      <c r="R51" s="170">
        <f t="shared" si="7"/>
        <v>0.14338009090568893</v>
      </c>
      <c r="S51" s="565"/>
      <c r="T51" s="571">
        <v>0</v>
      </c>
      <c r="U51" s="565"/>
      <c r="V51" s="571">
        <v>0</v>
      </c>
      <c r="W51" s="565"/>
      <c r="X51" s="571">
        <v>0</v>
      </c>
      <c r="Y51" s="565">
        <v>442</v>
      </c>
      <c r="Z51" s="170">
        <f t="shared" si="5"/>
        <v>0.20118730215972863</v>
      </c>
      <c r="AA51" s="565">
        <v>481</v>
      </c>
      <c r="AB51" s="170">
        <f t="shared" si="6"/>
        <v>0.2189391229385282</v>
      </c>
      <c r="AC51" s="565"/>
      <c r="AD51" s="571">
        <v>0</v>
      </c>
      <c r="AE51" s="576">
        <f t="shared" si="8"/>
        <v>10384</v>
      </c>
    </row>
    <row r="52" spans="1:31" ht="9.75" customHeight="1">
      <c r="A52" s="564"/>
      <c r="B52" s="564" t="s">
        <v>311</v>
      </c>
      <c r="C52" s="568">
        <v>24</v>
      </c>
      <c r="D52" s="568">
        <v>330</v>
      </c>
      <c r="E52" s="51">
        <v>0.0008</v>
      </c>
      <c r="F52" s="54">
        <f>(1.486/0.013)*((3.14*($C52*$C52)/4)/144)*SQRT($E52)*POWER($C52/12/4,2/3)</f>
        <v>6.395337007371613</v>
      </c>
      <c r="G52" s="567">
        <v>5.78</v>
      </c>
      <c r="H52" s="568">
        <v>1990</v>
      </c>
      <c r="I52" s="576">
        <v>10306</v>
      </c>
      <c r="J52" s="50">
        <f t="shared" si="1"/>
        <v>2.941667876501632</v>
      </c>
      <c r="K52" s="54">
        <f t="shared" si="2"/>
        <v>4.691032434520731</v>
      </c>
      <c r="L52" s="107">
        <f t="shared" si="13"/>
        <v>5.78</v>
      </c>
      <c r="M52" s="575">
        <v>9146</v>
      </c>
      <c r="N52" s="147">
        <f t="shared" si="4"/>
        <v>4.163029560074385</v>
      </c>
      <c r="O52" s="565"/>
      <c r="P52" s="571">
        <v>0</v>
      </c>
      <c r="Q52" s="565">
        <v>315</v>
      </c>
      <c r="R52" s="170">
        <f t="shared" si="7"/>
        <v>0.14338009090568893</v>
      </c>
      <c r="S52" s="565"/>
      <c r="T52" s="571">
        <v>0</v>
      </c>
      <c r="U52" s="565"/>
      <c r="V52" s="571">
        <v>0</v>
      </c>
      <c r="W52" s="565"/>
      <c r="X52" s="571">
        <v>0</v>
      </c>
      <c r="Y52" s="565">
        <v>442</v>
      </c>
      <c r="Z52" s="170">
        <f t="shared" si="5"/>
        <v>0.20118730215972863</v>
      </c>
      <c r="AA52" s="565">
        <v>481</v>
      </c>
      <c r="AB52" s="170">
        <f t="shared" si="6"/>
        <v>0.2189391229385282</v>
      </c>
      <c r="AC52" s="565"/>
      <c r="AD52" s="571">
        <v>0</v>
      </c>
      <c r="AE52" s="576">
        <f t="shared" si="8"/>
        <v>10384</v>
      </c>
    </row>
    <row r="53" spans="1:31" ht="9.75" customHeight="1">
      <c r="A53" s="564"/>
      <c r="B53" s="564" t="s">
        <v>312</v>
      </c>
      <c r="C53" s="568">
        <v>24</v>
      </c>
      <c r="D53" s="568">
        <v>295</v>
      </c>
      <c r="E53" s="51">
        <v>0.0008</v>
      </c>
      <c r="F53" s="54">
        <f>(1.486/0.013)*((3.14*($C53*$C53)/4)/144)*SQRT($E53)*POWER($C53/12/4,2/3)</f>
        <v>6.395337007371613</v>
      </c>
      <c r="G53" s="567">
        <v>5.78</v>
      </c>
      <c r="H53" s="568">
        <v>1990</v>
      </c>
      <c r="I53" s="576">
        <v>10306</v>
      </c>
      <c r="J53" s="50">
        <f t="shared" si="1"/>
        <v>2.941667876501632</v>
      </c>
      <c r="K53" s="54">
        <f t="shared" si="2"/>
        <v>4.691032434520731</v>
      </c>
      <c r="L53" s="107">
        <f t="shared" si="13"/>
        <v>5.78</v>
      </c>
      <c r="M53" s="575">
        <v>9146</v>
      </c>
      <c r="N53" s="147">
        <f t="shared" si="4"/>
        <v>4.163029560074385</v>
      </c>
      <c r="O53" s="565"/>
      <c r="P53" s="571">
        <v>0</v>
      </c>
      <c r="Q53" s="565">
        <v>315</v>
      </c>
      <c r="R53" s="170">
        <f t="shared" si="7"/>
        <v>0.14338009090568893</v>
      </c>
      <c r="S53" s="565"/>
      <c r="T53" s="571">
        <v>0</v>
      </c>
      <c r="U53" s="565"/>
      <c r="V53" s="571">
        <v>0</v>
      </c>
      <c r="W53" s="565"/>
      <c r="X53" s="571">
        <v>0</v>
      </c>
      <c r="Y53" s="565">
        <v>442</v>
      </c>
      <c r="Z53" s="170">
        <f t="shared" si="5"/>
        <v>0.20118730215972863</v>
      </c>
      <c r="AA53" s="565">
        <v>481</v>
      </c>
      <c r="AB53" s="170">
        <f t="shared" si="6"/>
        <v>0.2189391229385282</v>
      </c>
      <c r="AC53" s="565"/>
      <c r="AD53" s="571">
        <v>0</v>
      </c>
      <c r="AE53" s="576">
        <f t="shared" si="8"/>
        <v>10384</v>
      </c>
    </row>
    <row r="54" spans="1:31" ht="9.75" customHeight="1">
      <c r="A54" s="564"/>
      <c r="B54" s="564" t="s">
        <v>324</v>
      </c>
      <c r="C54" s="568">
        <v>24</v>
      </c>
      <c r="D54" s="568">
        <v>233</v>
      </c>
      <c r="E54" s="51">
        <v>0.0008</v>
      </c>
      <c r="F54" s="54">
        <f>(1.486/0.013)*((3.14*($C54*$C54)/4)/144)*SQRT($E54)*POWER($C54/12/4,2/3)</f>
        <v>6.395337007371613</v>
      </c>
      <c r="G54" s="567">
        <v>5.78</v>
      </c>
      <c r="H54" s="568">
        <v>1990</v>
      </c>
      <c r="I54" s="576">
        <v>10306</v>
      </c>
      <c r="J54" s="50">
        <f t="shared" si="1"/>
        <v>2.941667876501632</v>
      </c>
      <c r="K54" s="54">
        <f t="shared" si="2"/>
        <v>4.691032434520731</v>
      </c>
      <c r="L54" s="107">
        <f t="shared" si="13"/>
        <v>5.78</v>
      </c>
      <c r="M54" s="575">
        <v>9146</v>
      </c>
      <c r="N54" s="147">
        <f t="shared" si="4"/>
        <v>4.163029560074385</v>
      </c>
      <c r="O54" s="565"/>
      <c r="P54" s="571">
        <v>0</v>
      </c>
      <c r="Q54" s="565">
        <v>315</v>
      </c>
      <c r="R54" s="170">
        <f t="shared" si="7"/>
        <v>0.14338009090568893</v>
      </c>
      <c r="S54" s="565"/>
      <c r="T54" s="571">
        <v>0</v>
      </c>
      <c r="U54" s="565"/>
      <c r="V54" s="571">
        <v>0</v>
      </c>
      <c r="W54" s="565"/>
      <c r="X54" s="571">
        <v>0</v>
      </c>
      <c r="Y54" s="565">
        <v>442</v>
      </c>
      <c r="Z54" s="170">
        <f t="shared" si="5"/>
        <v>0.20118730215972863</v>
      </c>
      <c r="AA54" s="565">
        <v>481</v>
      </c>
      <c r="AB54" s="170">
        <f t="shared" si="6"/>
        <v>0.2189391229385282</v>
      </c>
      <c r="AC54" s="565"/>
      <c r="AD54" s="571">
        <v>0</v>
      </c>
      <c r="AE54" s="576">
        <f t="shared" si="8"/>
        <v>10384</v>
      </c>
    </row>
    <row r="55" spans="1:31" ht="9.75" customHeight="1">
      <c r="A55" s="564"/>
      <c r="B55" s="564"/>
      <c r="C55" s="568">
        <v>24</v>
      </c>
      <c r="D55" s="568">
        <v>72</v>
      </c>
      <c r="E55" s="51">
        <v>0.0008</v>
      </c>
      <c r="F55" s="54">
        <f>(1.486/0.013)*((3.14*($C55*$C55)/4)/144)*SQRT($E55)*POWER($C55/12/4,2/3)</f>
        <v>6.395337007371613</v>
      </c>
      <c r="G55" s="567">
        <v>5.78</v>
      </c>
      <c r="H55" s="568">
        <v>1990</v>
      </c>
      <c r="I55" s="576">
        <v>10306</v>
      </c>
      <c r="J55" s="50">
        <f t="shared" si="1"/>
        <v>2.941667876501632</v>
      </c>
      <c r="K55" s="54">
        <f t="shared" si="2"/>
        <v>4.691032434520731</v>
      </c>
      <c r="L55" s="107">
        <f t="shared" si="13"/>
        <v>5.78</v>
      </c>
      <c r="M55" s="575">
        <v>9146</v>
      </c>
      <c r="N55" s="147">
        <f t="shared" si="4"/>
        <v>4.163029560074385</v>
      </c>
      <c r="O55" s="565"/>
      <c r="P55" s="571">
        <v>0</v>
      </c>
      <c r="Q55" s="565">
        <v>315</v>
      </c>
      <c r="R55" s="170">
        <f t="shared" si="7"/>
        <v>0.14338009090568893</v>
      </c>
      <c r="S55" s="565"/>
      <c r="T55" s="571">
        <v>0</v>
      </c>
      <c r="U55" s="565"/>
      <c r="V55" s="571">
        <v>0</v>
      </c>
      <c r="W55" s="565"/>
      <c r="X55" s="571">
        <v>0</v>
      </c>
      <c r="Y55" s="565">
        <v>442</v>
      </c>
      <c r="Z55" s="170">
        <f t="shared" si="5"/>
        <v>0.20118730215972863</v>
      </c>
      <c r="AA55" s="565">
        <v>481</v>
      </c>
      <c r="AB55" s="170">
        <f t="shared" si="6"/>
        <v>0.2189391229385282</v>
      </c>
      <c r="AC55" s="565"/>
      <c r="AD55" s="571">
        <v>0</v>
      </c>
      <c r="AE55" s="576">
        <f t="shared" si="8"/>
        <v>10384</v>
      </c>
    </row>
    <row r="56" spans="1:31" ht="9.75" customHeight="1">
      <c r="A56" s="564"/>
      <c r="B56" s="564"/>
      <c r="C56" s="568"/>
      <c r="D56" s="568"/>
      <c r="E56" s="51"/>
      <c r="F56" s="54"/>
      <c r="G56" s="567"/>
      <c r="H56" s="568"/>
      <c r="I56" s="576"/>
      <c r="J56" s="50"/>
      <c r="K56" s="54"/>
      <c r="L56" s="107"/>
      <c r="M56" s="575"/>
      <c r="N56" s="147"/>
      <c r="O56" s="565"/>
      <c r="P56" s="571"/>
      <c r="Q56" s="565"/>
      <c r="R56" s="170"/>
      <c r="S56" s="565"/>
      <c r="T56" s="571"/>
      <c r="U56" s="565"/>
      <c r="V56" s="571"/>
      <c r="W56" s="565"/>
      <c r="X56" s="571"/>
      <c r="Y56" s="565"/>
      <c r="Z56" s="170"/>
      <c r="AA56" s="565"/>
      <c r="AB56" s="170"/>
      <c r="AC56" s="565"/>
      <c r="AD56" s="571"/>
      <c r="AE56" s="576"/>
    </row>
    <row r="57" spans="1:31" ht="9.75" customHeight="1">
      <c r="A57" s="564" t="s">
        <v>313</v>
      </c>
      <c r="B57" s="564" t="s">
        <v>306</v>
      </c>
      <c r="C57" s="568">
        <v>24</v>
      </c>
      <c r="D57" s="568">
        <v>348</v>
      </c>
      <c r="E57" s="51">
        <v>0.0008</v>
      </c>
      <c r="F57" s="54">
        <f>(1.486/0.013)*((3.14*($C57*$C57)/4)/144)*SQRT($E57)*POWER($C57/12/4,2/3)</f>
        <v>6.395337007371613</v>
      </c>
      <c r="G57" s="567">
        <v>5.98</v>
      </c>
      <c r="H57" s="568">
        <v>1990</v>
      </c>
      <c r="I57" s="576">
        <v>10306</v>
      </c>
      <c r="J57" s="50">
        <f t="shared" si="1"/>
        <v>2.941667876501632</v>
      </c>
      <c r="K57" s="54">
        <f t="shared" si="2"/>
        <v>4.691032434520731</v>
      </c>
      <c r="L57" s="107">
        <f t="shared" si="13"/>
        <v>5.98</v>
      </c>
      <c r="M57" s="575">
        <v>9146</v>
      </c>
      <c r="N57" s="147">
        <f t="shared" si="4"/>
        <v>4.163029560074385</v>
      </c>
      <c r="O57" s="565"/>
      <c r="P57" s="571">
        <v>0</v>
      </c>
      <c r="Q57" s="565">
        <v>315</v>
      </c>
      <c r="R57" s="170">
        <f t="shared" si="7"/>
        <v>0.14338009090568893</v>
      </c>
      <c r="S57" s="565"/>
      <c r="T57" s="571">
        <v>0</v>
      </c>
      <c r="U57" s="565"/>
      <c r="V57" s="571">
        <v>0</v>
      </c>
      <c r="W57" s="565"/>
      <c r="X57" s="571">
        <v>0</v>
      </c>
      <c r="Y57" s="565">
        <v>442</v>
      </c>
      <c r="Z57" s="170">
        <f t="shared" si="5"/>
        <v>0.20118730215972863</v>
      </c>
      <c r="AA57" s="565">
        <v>481</v>
      </c>
      <c r="AB57" s="170">
        <f t="shared" si="6"/>
        <v>0.2189391229385282</v>
      </c>
      <c r="AC57" s="565"/>
      <c r="AD57" s="571">
        <v>0</v>
      </c>
      <c r="AE57" s="576">
        <f t="shared" si="8"/>
        <v>10384</v>
      </c>
    </row>
    <row r="58" spans="1:31" ht="9.75" customHeight="1">
      <c r="A58" s="564"/>
      <c r="B58" s="564"/>
      <c r="C58" s="568">
        <v>24</v>
      </c>
      <c r="D58" s="568">
        <v>350</v>
      </c>
      <c r="E58" s="51">
        <v>0.0008</v>
      </c>
      <c r="F58" s="54">
        <f>(1.486/0.013)*((3.14*($C58*$C58)/4)/144)*SQRT($E58)*POWER($C58/12/4,2/3)</f>
        <v>6.395337007371613</v>
      </c>
      <c r="G58" s="567">
        <v>5.98</v>
      </c>
      <c r="H58" s="568">
        <v>1990</v>
      </c>
      <c r="I58" s="576">
        <v>10306</v>
      </c>
      <c r="J58" s="50">
        <f t="shared" si="1"/>
        <v>2.941667876501632</v>
      </c>
      <c r="K58" s="54">
        <f t="shared" si="2"/>
        <v>4.691032434520731</v>
      </c>
      <c r="L58" s="107">
        <f t="shared" si="13"/>
        <v>5.98</v>
      </c>
      <c r="M58" s="575">
        <v>9146</v>
      </c>
      <c r="N58" s="147">
        <f t="shared" si="4"/>
        <v>4.163029560074385</v>
      </c>
      <c r="O58" s="565"/>
      <c r="P58" s="571">
        <v>0</v>
      </c>
      <c r="Q58" s="565">
        <v>315</v>
      </c>
      <c r="R58" s="170">
        <f t="shared" si="7"/>
        <v>0.14338009090568893</v>
      </c>
      <c r="S58" s="565"/>
      <c r="T58" s="571">
        <v>0</v>
      </c>
      <c r="U58" s="565"/>
      <c r="V58" s="571">
        <v>0</v>
      </c>
      <c r="W58" s="565"/>
      <c r="X58" s="571">
        <v>0</v>
      </c>
      <c r="Y58" s="565">
        <v>442</v>
      </c>
      <c r="Z58" s="170">
        <f t="shared" si="5"/>
        <v>0.20118730215972863</v>
      </c>
      <c r="AA58" s="565">
        <v>481</v>
      </c>
      <c r="AB58" s="170">
        <f t="shared" si="6"/>
        <v>0.2189391229385282</v>
      </c>
      <c r="AC58" s="565"/>
      <c r="AD58" s="571">
        <v>0</v>
      </c>
      <c r="AE58" s="576">
        <f t="shared" si="8"/>
        <v>10384</v>
      </c>
    </row>
    <row r="59" spans="1:31" ht="9.75" customHeight="1">
      <c r="A59" s="564"/>
      <c r="B59" s="564"/>
      <c r="C59" s="568">
        <v>24</v>
      </c>
      <c r="D59" s="568">
        <v>350</v>
      </c>
      <c r="E59" s="51">
        <v>0.0008</v>
      </c>
      <c r="F59" s="54">
        <f>(1.486/0.013)*((3.14*($C59*$C59)/4)/144)*SQRT($E59)*POWER($C59/12/4,2/3)</f>
        <v>6.395337007371613</v>
      </c>
      <c r="G59" s="567">
        <v>5.98</v>
      </c>
      <c r="H59" s="568">
        <v>1990</v>
      </c>
      <c r="I59" s="576">
        <f>I$63</f>
        <v>11584</v>
      </c>
      <c r="J59" s="50">
        <f t="shared" si="1"/>
        <v>2.8909904562841646</v>
      </c>
      <c r="K59" s="54">
        <f t="shared" si="2"/>
        <v>5.181910007797918</v>
      </c>
      <c r="L59" s="107">
        <f t="shared" si="13"/>
        <v>5.98</v>
      </c>
      <c r="M59" s="575">
        <v>9146</v>
      </c>
      <c r="N59" s="147">
        <f t="shared" si="4"/>
        <v>4.091311199181608</v>
      </c>
      <c r="O59" s="565"/>
      <c r="P59" s="571">
        <v>0</v>
      </c>
      <c r="Q59" s="565">
        <f>Q$63</f>
        <v>315</v>
      </c>
      <c r="R59" s="170">
        <f t="shared" si="7"/>
        <v>0.14091001834049932</v>
      </c>
      <c r="S59" s="565"/>
      <c r="T59" s="571">
        <v>0</v>
      </c>
      <c r="U59" s="565"/>
      <c r="V59" s="571">
        <v>0</v>
      </c>
      <c r="W59" s="565"/>
      <c r="X59" s="571">
        <v>0</v>
      </c>
      <c r="Y59" s="565">
        <v>442</v>
      </c>
      <c r="Z59" s="170">
        <f t="shared" si="5"/>
        <v>0.1977213590682562</v>
      </c>
      <c r="AA59" s="565">
        <v>481</v>
      </c>
      <c r="AB59" s="170">
        <f t="shared" si="6"/>
        <v>0.2151673613389847</v>
      </c>
      <c r="AC59" s="565"/>
      <c r="AD59" s="571">
        <v>0</v>
      </c>
      <c r="AE59" s="576">
        <f t="shared" si="8"/>
        <v>10384</v>
      </c>
    </row>
    <row r="60" spans="1:31" ht="9.75" customHeight="1">
      <c r="A60" s="564"/>
      <c r="B60" s="564"/>
      <c r="C60" s="568"/>
      <c r="D60" s="568"/>
      <c r="E60" s="51"/>
      <c r="F60" s="54"/>
      <c r="G60" s="567"/>
      <c r="H60" s="568"/>
      <c r="I60" s="576">
        <f>I$63</f>
        <v>11584</v>
      </c>
      <c r="J60" s="50"/>
      <c r="K60" s="54"/>
      <c r="L60" s="107"/>
      <c r="M60" s="575"/>
      <c r="N60" s="147"/>
      <c r="O60" s="565"/>
      <c r="P60" s="571"/>
      <c r="Q60" s="565"/>
      <c r="R60" s="170"/>
      <c r="S60" s="565"/>
      <c r="T60" s="571"/>
      <c r="U60" s="565"/>
      <c r="V60" s="571"/>
      <c r="W60" s="565"/>
      <c r="X60" s="571"/>
      <c r="Y60" s="565"/>
      <c r="Z60" s="170"/>
      <c r="AA60" s="565"/>
      <c r="AB60" s="170"/>
      <c r="AC60" s="565"/>
      <c r="AD60" s="571"/>
      <c r="AE60" s="576"/>
    </row>
    <row r="61" spans="1:31" ht="9.75" customHeight="1">
      <c r="A61" s="564" t="s">
        <v>326</v>
      </c>
      <c r="B61" s="564" t="s">
        <v>313</v>
      </c>
      <c r="C61" s="568">
        <v>24</v>
      </c>
      <c r="D61" s="568">
        <v>25</v>
      </c>
      <c r="E61" s="51">
        <v>0.0008</v>
      </c>
      <c r="F61" s="54">
        <f aca="true" t="shared" si="15" ref="F61:F67">(1.486/0.013)*((3.14*($C61*$C61)/4)/144)*SQRT($E61)*POWER($C61/12/4,2/3)</f>
        <v>6.395337007371613</v>
      </c>
      <c r="G61" s="567">
        <v>6.32</v>
      </c>
      <c r="H61" s="568">
        <v>1990</v>
      </c>
      <c r="I61" s="576">
        <f>I$63</f>
        <v>11584</v>
      </c>
      <c r="J61" s="50">
        <f t="shared" si="1"/>
        <v>2.8909904562841646</v>
      </c>
      <c r="K61" s="54">
        <f t="shared" si="2"/>
        <v>5.181910007797918</v>
      </c>
      <c r="L61" s="107">
        <f t="shared" si="13"/>
        <v>6.32</v>
      </c>
      <c r="M61" s="575">
        <f>M$63</f>
        <v>10424</v>
      </c>
      <c r="N61" s="147">
        <f t="shared" si="4"/>
        <v>4.6630032735916345</v>
      </c>
      <c r="O61" s="565"/>
      <c r="P61" s="571">
        <v>0</v>
      </c>
      <c r="Q61" s="565">
        <f>Q$63</f>
        <v>315</v>
      </c>
      <c r="R61" s="170">
        <f t="shared" si="7"/>
        <v>0.14091001834049932</v>
      </c>
      <c r="S61" s="565"/>
      <c r="T61" s="571">
        <v>0</v>
      </c>
      <c r="U61" s="565"/>
      <c r="V61" s="571">
        <v>0</v>
      </c>
      <c r="W61" s="565"/>
      <c r="X61" s="571">
        <v>0</v>
      </c>
      <c r="Y61" s="565">
        <v>442</v>
      </c>
      <c r="Z61" s="170">
        <f t="shared" si="5"/>
        <v>0.1977213590682562</v>
      </c>
      <c r="AA61" s="565">
        <v>481</v>
      </c>
      <c r="AB61" s="170">
        <f t="shared" si="6"/>
        <v>0.2151673613389847</v>
      </c>
      <c r="AC61" s="565"/>
      <c r="AD61" s="571">
        <v>0</v>
      </c>
      <c r="AE61" s="576">
        <f t="shared" si="8"/>
        <v>11662</v>
      </c>
    </row>
    <row r="62" spans="1:31" ht="9.75" customHeight="1">
      <c r="A62" s="564"/>
      <c r="B62" s="564"/>
      <c r="C62" s="568">
        <v>24</v>
      </c>
      <c r="D62" s="568">
        <v>355</v>
      </c>
      <c r="E62" s="51">
        <v>0.0008</v>
      </c>
      <c r="F62" s="54">
        <f t="shared" si="15"/>
        <v>6.395337007371613</v>
      </c>
      <c r="G62" s="567">
        <v>6.32</v>
      </c>
      <c r="H62" s="568">
        <v>1990</v>
      </c>
      <c r="I62" s="576">
        <f>I$63</f>
        <v>11584</v>
      </c>
      <c r="J62" s="50">
        <f t="shared" si="1"/>
        <v>2.8909904562841646</v>
      </c>
      <c r="K62" s="54">
        <f t="shared" si="2"/>
        <v>5.181910007797918</v>
      </c>
      <c r="L62" s="107">
        <f t="shared" si="13"/>
        <v>6.32</v>
      </c>
      <c r="M62" s="575">
        <f>M$63</f>
        <v>10424</v>
      </c>
      <c r="N62" s="147">
        <f t="shared" si="4"/>
        <v>4.6630032735916345</v>
      </c>
      <c r="O62" s="565"/>
      <c r="P62" s="571">
        <v>0</v>
      </c>
      <c r="Q62" s="565">
        <f>Q$63</f>
        <v>315</v>
      </c>
      <c r="R62" s="170">
        <f t="shared" si="7"/>
        <v>0.14091001834049932</v>
      </c>
      <c r="S62" s="565"/>
      <c r="T62" s="571">
        <v>0</v>
      </c>
      <c r="U62" s="565"/>
      <c r="V62" s="571">
        <v>0</v>
      </c>
      <c r="W62" s="565"/>
      <c r="X62" s="571">
        <v>0</v>
      </c>
      <c r="Y62" s="565">
        <v>442</v>
      </c>
      <c r="Z62" s="170">
        <f t="shared" si="5"/>
        <v>0.1977213590682562</v>
      </c>
      <c r="AA62" s="565">
        <v>481</v>
      </c>
      <c r="AB62" s="170">
        <f t="shared" si="6"/>
        <v>0.2151673613389847</v>
      </c>
      <c r="AC62" s="565"/>
      <c r="AD62" s="571">
        <v>0</v>
      </c>
      <c r="AE62" s="576">
        <f t="shared" si="8"/>
        <v>11662</v>
      </c>
    </row>
    <row r="63" spans="1:31" ht="9.75" customHeight="1">
      <c r="A63" s="564"/>
      <c r="B63" s="564" t="s">
        <v>222</v>
      </c>
      <c r="C63" s="568">
        <v>24</v>
      </c>
      <c r="D63" s="568">
        <v>278</v>
      </c>
      <c r="E63" s="51">
        <v>0.0008</v>
      </c>
      <c r="F63" s="54">
        <f t="shared" si="15"/>
        <v>6.395337007371613</v>
      </c>
      <c r="G63" s="567">
        <v>6.32</v>
      </c>
      <c r="H63" s="568">
        <v>1990</v>
      </c>
      <c r="I63" s="576">
        <v>11584</v>
      </c>
      <c r="J63" s="50">
        <f t="shared" si="1"/>
        <v>2.8909904562841646</v>
      </c>
      <c r="K63" s="54">
        <f t="shared" si="2"/>
        <v>5.181910007797918</v>
      </c>
      <c r="L63" s="107">
        <f t="shared" si="13"/>
        <v>6.32</v>
      </c>
      <c r="M63" s="575">
        <v>10424</v>
      </c>
      <c r="N63" s="147">
        <f t="shared" si="4"/>
        <v>4.6630032735916345</v>
      </c>
      <c r="O63" s="565"/>
      <c r="P63" s="571">
        <v>0</v>
      </c>
      <c r="Q63" s="565">
        <v>315</v>
      </c>
      <c r="R63" s="170">
        <f t="shared" si="7"/>
        <v>0.14091001834049932</v>
      </c>
      <c r="S63" s="565"/>
      <c r="T63" s="571">
        <v>0</v>
      </c>
      <c r="U63" s="565"/>
      <c r="V63" s="571">
        <v>0</v>
      </c>
      <c r="W63" s="565"/>
      <c r="X63" s="571">
        <v>0</v>
      </c>
      <c r="Y63" s="565">
        <v>442</v>
      </c>
      <c r="Z63" s="170">
        <f t="shared" si="5"/>
        <v>0.1977213590682562</v>
      </c>
      <c r="AA63" s="565">
        <v>481</v>
      </c>
      <c r="AB63" s="170">
        <f t="shared" si="6"/>
        <v>0.2151673613389847</v>
      </c>
      <c r="AC63" s="565"/>
      <c r="AD63" s="571">
        <v>0</v>
      </c>
      <c r="AE63" s="576">
        <f t="shared" si="8"/>
        <v>11662</v>
      </c>
    </row>
    <row r="64" spans="1:31" ht="9.75" customHeight="1">
      <c r="A64" s="564"/>
      <c r="B64" s="564" t="s">
        <v>325</v>
      </c>
      <c r="C64" s="568">
        <v>24</v>
      </c>
      <c r="D64" s="568">
        <v>355</v>
      </c>
      <c r="E64" s="51">
        <v>0.0008</v>
      </c>
      <c r="F64" s="54">
        <f t="shared" si="15"/>
        <v>6.395337007371613</v>
      </c>
      <c r="G64" s="567">
        <v>6.77</v>
      </c>
      <c r="H64" s="568">
        <v>1990</v>
      </c>
      <c r="I64" s="576">
        <v>11584</v>
      </c>
      <c r="J64" s="50">
        <f t="shared" si="1"/>
        <v>2.8909904562841646</v>
      </c>
      <c r="K64" s="54">
        <f t="shared" si="2"/>
        <v>5.181910007797918</v>
      </c>
      <c r="L64" s="107">
        <f t="shared" si="13"/>
        <v>6.395337007371613</v>
      </c>
      <c r="M64" s="575">
        <v>10424</v>
      </c>
      <c r="N64" s="147">
        <f t="shared" si="4"/>
        <v>4.6630032735916345</v>
      </c>
      <c r="O64" s="565"/>
      <c r="P64" s="571">
        <v>0</v>
      </c>
      <c r="Q64" s="565">
        <v>315</v>
      </c>
      <c r="R64" s="170">
        <f t="shared" si="7"/>
        <v>0.14091001834049932</v>
      </c>
      <c r="S64" s="565"/>
      <c r="T64" s="571">
        <v>0</v>
      </c>
      <c r="U64" s="565"/>
      <c r="V64" s="571">
        <v>0</v>
      </c>
      <c r="W64" s="565"/>
      <c r="X64" s="571">
        <v>0</v>
      </c>
      <c r="Y64" s="565">
        <v>442</v>
      </c>
      <c r="Z64" s="170">
        <f t="shared" si="5"/>
        <v>0.1977213590682562</v>
      </c>
      <c r="AA64" s="565">
        <v>481</v>
      </c>
      <c r="AB64" s="170">
        <f t="shared" si="6"/>
        <v>0.2151673613389847</v>
      </c>
      <c r="AC64" s="565"/>
      <c r="AD64" s="571">
        <v>0</v>
      </c>
      <c r="AE64" s="576">
        <f t="shared" si="8"/>
        <v>11662</v>
      </c>
    </row>
    <row r="65" spans="1:31" ht="9.75" customHeight="1">
      <c r="A65" s="564"/>
      <c r="B65" s="564" t="s">
        <v>223</v>
      </c>
      <c r="C65" s="568">
        <v>24</v>
      </c>
      <c r="D65" s="568">
        <v>43</v>
      </c>
      <c r="E65" s="51">
        <v>0.0008</v>
      </c>
      <c r="F65" s="54">
        <f t="shared" si="15"/>
        <v>6.395337007371613</v>
      </c>
      <c r="G65" s="567">
        <v>6.77</v>
      </c>
      <c r="H65" s="568">
        <v>1990</v>
      </c>
      <c r="I65" s="576">
        <f>I$67</f>
        <v>11584</v>
      </c>
      <c r="J65" s="50">
        <f t="shared" si="1"/>
        <v>2.8909904562841646</v>
      </c>
      <c r="K65" s="54">
        <f t="shared" si="2"/>
        <v>5.181910007797918</v>
      </c>
      <c r="L65" s="107">
        <f t="shared" si="13"/>
        <v>6.395337007371613</v>
      </c>
      <c r="M65" s="575">
        <f>M$67</f>
        <v>10424</v>
      </c>
      <c r="N65" s="147">
        <f t="shared" si="4"/>
        <v>4.6630032735916345</v>
      </c>
      <c r="O65" s="565"/>
      <c r="P65" s="571">
        <v>0</v>
      </c>
      <c r="Q65" s="565">
        <f>Q$67</f>
        <v>315</v>
      </c>
      <c r="R65" s="170">
        <f t="shared" si="7"/>
        <v>0.14091001834049932</v>
      </c>
      <c r="S65" s="565"/>
      <c r="T65" s="571">
        <v>0</v>
      </c>
      <c r="U65" s="565"/>
      <c r="V65" s="571">
        <v>0</v>
      </c>
      <c r="W65" s="565"/>
      <c r="X65" s="571">
        <v>0</v>
      </c>
      <c r="Y65" s="565">
        <v>442</v>
      </c>
      <c r="Z65" s="170">
        <f t="shared" si="5"/>
        <v>0.1977213590682562</v>
      </c>
      <c r="AA65" s="565">
        <v>481</v>
      </c>
      <c r="AB65" s="170">
        <f t="shared" si="6"/>
        <v>0.2151673613389847</v>
      </c>
      <c r="AC65" s="565"/>
      <c r="AD65" s="571">
        <v>0</v>
      </c>
      <c r="AE65" s="576">
        <f t="shared" si="8"/>
        <v>11662</v>
      </c>
    </row>
    <row r="66" spans="1:31" ht="9.75" customHeight="1">
      <c r="A66" s="564" t="s">
        <v>314</v>
      </c>
      <c r="B66" s="564" t="s">
        <v>223</v>
      </c>
      <c r="C66" s="568">
        <v>24</v>
      </c>
      <c r="D66" s="568">
        <v>327</v>
      </c>
      <c r="E66" s="51">
        <v>0.0008</v>
      </c>
      <c r="F66" s="54">
        <f t="shared" si="15"/>
        <v>6.395337007371613</v>
      </c>
      <c r="G66" s="567">
        <v>6.77</v>
      </c>
      <c r="H66" s="568">
        <v>1990</v>
      </c>
      <c r="I66" s="576">
        <f>I$67</f>
        <v>11584</v>
      </c>
      <c r="J66" s="50">
        <f t="shared" si="1"/>
        <v>2.8909904562841646</v>
      </c>
      <c r="K66" s="54">
        <f t="shared" si="2"/>
        <v>5.181910007797918</v>
      </c>
      <c r="L66" s="107">
        <f t="shared" si="13"/>
        <v>6.395337007371613</v>
      </c>
      <c r="M66" s="575">
        <f>M$67</f>
        <v>10424</v>
      </c>
      <c r="N66" s="147">
        <f t="shared" si="4"/>
        <v>4.6630032735916345</v>
      </c>
      <c r="O66" s="565"/>
      <c r="P66" s="571">
        <v>0</v>
      </c>
      <c r="Q66" s="565">
        <f>Q$67</f>
        <v>315</v>
      </c>
      <c r="R66" s="170">
        <f t="shared" si="7"/>
        <v>0.14091001834049932</v>
      </c>
      <c r="S66" s="565"/>
      <c r="T66" s="571">
        <v>0</v>
      </c>
      <c r="U66" s="565"/>
      <c r="V66" s="571">
        <v>0</v>
      </c>
      <c r="W66" s="565"/>
      <c r="X66" s="571">
        <v>0</v>
      </c>
      <c r="Y66" s="565">
        <v>442</v>
      </c>
      <c r="Z66" s="170">
        <f t="shared" si="5"/>
        <v>0.1977213590682562</v>
      </c>
      <c r="AA66" s="565">
        <v>481</v>
      </c>
      <c r="AB66" s="170">
        <f t="shared" si="6"/>
        <v>0.2151673613389847</v>
      </c>
      <c r="AC66" s="565"/>
      <c r="AD66" s="571">
        <v>0</v>
      </c>
      <c r="AE66" s="576">
        <f t="shared" si="8"/>
        <v>11662</v>
      </c>
    </row>
    <row r="67" spans="1:31" ht="9.75" customHeight="1">
      <c r="A67" s="564"/>
      <c r="B67" s="564"/>
      <c r="C67" s="568">
        <v>24</v>
      </c>
      <c r="D67" s="568">
        <v>376</v>
      </c>
      <c r="E67" s="51">
        <v>0.0008</v>
      </c>
      <c r="F67" s="54">
        <f t="shared" si="15"/>
        <v>6.395337007371613</v>
      </c>
      <c r="G67" s="567">
        <v>6.77</v>
      </c>
      <c r="H67" s="568">
        <v>1990</v>
      </c>
      <c r="I67" s="576">
        <v>11584</v>
      </c>
      <c r="J67" s="50">
        <f t="shared" si="1"/>
        <v>2.8909904562841646</v>
      </c>
      <c r="K67" s="54">
        <f t="shared" si="2"/>
        <v>5.181910007797918</v>
      </c>
      <c r="L67" s="107">
        <f t="shared" si="13"/>
        <v>6.395337007371613</v>
      </c>
      <c r="M67" s="575">
        <v>10424</v>
      </c>
      <c r="N67" s="147">
        <f t="shared" si="4"/>
        <v>4.6630032735916345</v>
      </c>
      <c r="O67" s="565"/>
      <c r="P67" s="571">
        <v>0</v>
      </c>
      <c r="Q67" s="565">
        <v>315</v>
      </c>
      <c r="R67" s="170">
        <f t="shared" si="7"/>
        <v>0.14091001834049932</v>
      </c>
      <c r="S67" s="565"/>
      <c r="T67" s="571">
        <v>0</v>
      </c>
      <c r="U67" s="565"/>
      <c r="V67" s="571">
        <v>0</v>
      </c>
      <c r="W67" s="565"/>
      <c r="X67" s="571">
        <v>0</v>
      </c>
      <c r="Y67" s="565">
        <v>442</v>
      </c>
      <c r="Z67" s="170">
        <f t="shared" si="5"/>
        <v>0.1977213590682562</v>
      </c>
      <c r="AA67" s="565">
        <v>481</v>
      </c>
      <c r="AB67" s="170">
        <f t="shared" si="6"/>
        <v>0.2151673613389847</v>
      </c>
      <c r="AC67" s="565"/>
      <c r="AD67" s="571">
        <v>0</v>
      </c>
      <c r="AE67" s="576">
        <f t="shared" si="8"/>
        <v>11662</v>
      </c>
    </row>
    <row r="68" spans="1:31" ht="12.75">
      <c r="A68" s="22"/>
      <c r="B68" s="22"/>
      <c r="C68" s="22"/>
      <c r="D68" s="22"/>
      <c r="E68" s="167"/>
      <c r="F68" s="22"/>
      <c r="G68" s="22"/>
      <c r="H68" s="22"/>
      <c r="I68" s="168"/>
      <c r="J68" s="22"/>
      <c r="K68" s="22"/>
      <c r="L68" s="22"/>
      <c r="M68" s="168"/>
      <c r="N68" s="94"/>
      <c r="O68" s="22"/>
      <c r="P68" s="94"/>
      <c r="Q68" s="22"/>
      <c r="R68" s="94"/>
      <c r="S68" s="22"/>
      <c r="T68" s="94"/>
      <c r="U68" s="22"/>
      <c r="V68" s="94"/>
      <c r="W68" s="22"/>
      <c r="X68" s="94"/>
      <c r="Y68" s="22"/>
      <c r="Z68" s="94"/>
      <c r="AA68" s="22"/>
      <c r="AB68" s="94"/>
      <c r="AC68" s="22"/>
      <c r="AD68" s="94"/>
      <c r="AE68" s="168"/>
    </row>
  </sheetData>
  <sheetProtection/>
  <mergeCells count="9">
    <mergeCell ref="A8:B8"/>
    <mergeCell ref="O7:P7"/>
    <mergeCell ref="U7:V7"/>
    <mergeCell ref="S7:T7"/>
    <mergeCell ref="M7:N7"/>
    <mergeCell ref="Q7:R7"/>
    <mergeCell ref="Y7:Z7"/>
    <mergeCell ref="AA7:AB7"/>
    <mergeCell ref="W7:X7"/>
  </mergeCells>
  <printOptions horizontalCentered="1"/>
  <pageMargins left="0.47" right="0.26" top="0.2" bottom="0.37" header="0.19" footer="0.13"/>
  <pageSetup fitToHeight="1" fitToWidth="1" horizontalDpi="600" verticalDpi="600" orientation="landscape" scale="86" r:id="rId1"/>
  <headerFooter alignWithMargins="0">
    <oddFooter>&amp;L&amp;8Revised:                             6/1/2012
App. by OSG Tech. Comm. &amp;10 &amp;CPage 7 of 13 Pages</oddFooter>
  </headerFooter>
  <rowBreaks count="1" manualBreakCount="1">
    <brk id="81" max="255" man="1"/>
  </rowBreaks>
  <colBreaks count="1" manualBreakCount="1">
    <brk id="8" max="65535" man="1"/>
  </colBreaks>
</worksheet>
</file>

<file path=xl/worksheets/sheet15.xml><?xml version="1.0" encoding="utf-8"?>
<worksheet xmlns="http://schemas.openxmlformats.org/spreadsheetml/2006/main" xmlns:r="http://schemas.openxmlformats.org/officeDocument/2006/relationships">
  <sheetPr>
    <pageSetUpPr fitToPage="1"/>
  </sheetPr>
  <dimension ref="A1:AE50"/>
  <sheetViews>
    <sheetView view="pageLayout" zoomScale="0" zoomScaleNormal="85" zoomScaleSheetLayoutView="100" zoomScalePageLayoutView="0" workbookViewId="0" topLeftCell="A1">
      <selection activeCell="G28" sqref="G28"/>
      <selection activeCell="A1" sqref="A1"/>
    </sheetView>
  </sheetViews>
  <sheetFormatPr defaultColWidth="9.140625" defaultRowHeight="12.75"/>
  <cols>
    <col min="1" max="1" width="6.140625" style="0" customWidth="1"/>
    <col min="2" max="2" width="6.421875" style="0" customWidth="1"/>
    <col min="3" max="3" width="2.57421875" style="0" customWidth="1"/>
    <col min="4" max="4" width="4.421875" style="0" customWidth="1"/>
    <col min="5" max="5" width="4.421875" style="244" customWidth="1"/>
    <col min="6" max="6" width="7.57421875" style="0" customWidth="1"/>
    <col min="7" max="7" width="5.140625" style="60" customWidth="1"/>
    <col min="8" max="8" width="4.140625" style="0" customWidth="1"/>
    <col min="9" max="9" width="6.421875" style="220" customWidth="1"/>
    <col min="10" max="11" width="4.8515625" style="0" customWidth="1"/>
    <col min="12" max="12" width="4.00390625" style="0" customWidth="1"/>
    <col min="13" max="13" width="4.7109375" style="220" customWidth="1"/>
    <col min="14" max="14" width="4.7109375" style="239" customWidth="1"/>
    <col min="15" max="15" width="4.7109375" style="0" customWidth="1"/>
    <col min="16" max="16" width="4.7109375" style="239" customWidth="1"/>
    <col min="17" max="17" width="4.7109375" style="0" customWidth="1"/>
    <col min="18" max="18" width="4.7109375" style="239" customWidth="1"/>
    <col min="19" max="19" width="4.7109375" style="0" customWidth="1"/>
    <col min="20" max="20" width="4.7109375" style="239" customWidth="1"/>
    <col min="21" max="21" width="4.7109375" style="0" customWidth="1"/>
    <col min="22" max="22" width="4.7109375" style="239" customWidth="1"/>
    <col min="23" max="23" width="4.7109375" style="0" customWidth="1"/>
    <col min="24" max="24" width="4.7109375" style="239" customWidth="1"/>
    <col min="25" max="25" width="4.7109375" style="0" customWidth="1"/>
    <col min="26" max="26" width="5.57421875" style="239" customWidth="1"/>
    <col min="27" max="27" width="4.7109375" style="220" customWidth="1"/>
    <col min="28" max="28" width="5.28125" style="239" customWidth="1"/>
    <col min="29" max="29" width="4.7109375" style="220" customWidth="1"/>
    <col min="30" max="30" width="5.421875" style="239" customWidth="1"/>
    <col min="31" max="31" width="6.57421875" style="220" customWidth="1"/>
  </cols>
  <sheetData>
    <row r="1" spans="1:31" ht="14.25">
      <c r="A1" s="88" t="s">
        <v>172</v>
      </c>
      <c r="U1" s="88"/>
      <c r="V1" s="88"/>
      <c r="W1" s="88"/>
      <c r="X1" s="88"/>
      <c r="Y1" s="88"/>
      <c r="Z1" s="88"/>
      <c r="AA1" s="88"/>
      <c r="AB1" s="88"/>
      <c r="AC1" s="551"/>
      <c r="AD1" s="551"/>
      <c r="AE1" s="551"/>
    </row>
    <row r="2" spans="1:31" ht="14.25">
      <c r="A2" s="88" t="s">
        <v>1</v>
      </c>
      <c r="V2"/>
      <c r="X2"/>
      <c r="Z2"/>
      <c r="AA2"/>
      <c r="AB2"/>
      <c r="AC2" s="551"/>
      <c r="AD2" s="551"/>
      <c r="AE2" s="551"/>
    </row>
    <row r="3" ht="14.25">
      <c r="A3" s="88" t="s">
        <v>2</v>
      </c>
    </row>
    <row r="4" ht="14.25">
      <c r="A4" s="88" t="s">
        <v>173</v>
      </c>
    </row>
    <row r="6" spans="1:31" ht="9.75" customHeight="1">
      <c r="A6" s="267"/>
      <c r="B6" s="267"/>
      <c r="C6" s="245"/>
      <c r="D6" s="245"/>
      <c r="E6" s="246"/>
      <c r="F6" s="342"/>
      <c r="G6" s="102" t="s">
        <v>44</v>
      </c>
      <c r="H6" s="245"/>
      <c r="I6" s="576" t="s">
        <v>175</v>
      </c>
      <c r="J6" s="245"/>
      <c r="K6" s="41" t="s">
        <v>203</v>
      </c>
      <c r="L6" s="42" t="s">
        <v>204</v>
      </c>
      <c r="M6" s="672" t="s">
        <v>44</v>
      </c>
      <c r="N6" s="673"/>
      <c r="O6" s="670" t="s">
        <v>66</v>
      </c>
      <c r="P6" s="671"/>
      <c r="Q6" s="670" t="s">
        <v>299</v>
      </c>
      <c r="R6" s="671"/>
      <c r="S6" s="670" t="s">
        <v>51</v>
      </c>
      <c r="T6" s="671"/>
      <c r="U6" s="670" t="s">
        <v>178</v>
      </c>
      <c r="V6" s="671"/>
      <c r="W6" s="670" t="s">
        <v>68</v>
      </c>
      <c r="X6" s="671"/>
      <c r="Y6" s="670" t="s">
        <v>65</v>
      </c>
      <c r="Z6" s="671"/>
      <c r="AA6" s="670" t="s">
        <v>207</v>
      </c>
      <c r="AB6" s="671"/>
      <c r="AC6" s="670" t="s">
        <v>208</v>
      </c>
      <c r="AD6" s="671"/>
      <c r="AE6" s="576" t="s">
        <v>7</v>
      </c>
    </row>
    <row r="7" spans="1:31" ht="9.75" customHeight="1">
      <c r="A7" s="669" t="s">
        <v>179</v>
      </c>
      <c r="B7" s="669"/>
      <c r="C7" s="568" t="s">
        <v>180</v>
      </c>
      <c r="D7" s="568" t="s">
        <v>181</v>
      </c>
      <c r="E7" s="51" t="s">
        <v>182</v>
      </c>
      <c r="F7" s="41" t="s">
        <v>183</v>
      </c>
      <c r="G7" s="102" t="s">
        <v>204</v>
      </c>
      <c r="H7" s="568" t="s">
        <v>212</v>
      </c>
      <c r="I7" s="576" t="s">
        <v>184</v>
      </c>
      <c r="J7" s="568" t="s">
        <v>185</v>
      </c>
      <c r="K7" s="41" t="s">
        <v>204</v>
      </c>
      <c r="L7" s="42" t="s">
        <v>199</v>
      </c>
      <c r="M7" s="575" t="s">
        <v>187</v>
      </c>
      <c r="N7" s="569" t="s">
        <v>200</v>
      </c>
      <c r="O7" s="565" t="s">
        <v>187</v>
      </c>
      <c r="P7" s="571" t="s">
        <v>200</v>
      </c>
      <c r="Q7" s="565" t="s">
        <v>187</v>
      </c>
      <c r="R7" s="571" t="s">
        <v>200</v>
      </c>
      <c r="S7" s="565" t="s">
        <v>187</v>
      </c>
      <c r="T7" s="571" t="s">
        <v>200</v>
      </c>
      <c r="U7" s="565" t="s">
        <v>187</v>
      </c>
      <c r="V7" s="571" t="s">
        <v>200</v>
      </c>
      <c r="W7" s="670" t="s">
        <v>213</v>
      </c>
      <c r="X7" s="671"/>
      <c r="Y7" s="670" t="s">
        <v>213</v>
      </c>
      <c r="Z7" s="671"/>
      <c r="AA7" s="670" t="s">
        <v>213</v>
      </c>
      <c r="AB7" s="671"/>
      <c r="AC7" s="670" t="s">
        <v>213</v>
      </c>
      <c r="AD7" s="671"/>
      <c r="AE7" s="576" t="s">
        <v>187</v>
      </c>
    </row>
    <row r="8" spans="1:31" ht="9.75" customHeight="1" thickBot="1">
      <c r="A8" s="39" t="s">
        <v>214</v>
      </c>
      <c r="B8" s="39" t="s">
        <v>215</v>
      </c>
      <c r="C8" s="78" t="s">
        <v>189</v>
      </c>
      <c r="D8" s="78" t="s">
        <v>315</v>
      </c>
      <c r="E8" s="79" t="s">
        <v>383</v>
      </c>
      <c r="F8" s="80" t="s">
        <v>191</v>
      </c>
      <c r="G8" s="83" t="s">
        <v>191</v>
      </c>
      <c r="H8" s="78" t="s">
        <v>192</v>
      </c>
      <c r="I8" s="82" t="s">
        <v>274</v>
      </c>
      <c r="J8" s="78" t="s">
        <v>194</v>
      </c>
      <c r="K8" s="80" t="s">
        <v>191</v>
      </c>
      <c r="L8" s="80" t="s">
        <v>191</v>
      </c>
      <c r="M8" s="397"/>
      <c r="N8" s="150" t="s">
        <v>191</v>
      </c>
      <c r="O8" s="379"/>
      <c r="P8" s="86" t="s">
        <v>191</v>
      </c>
      <c r="Q8" s="379"/>
      <c r="R8" s="86" t="s">
        <v>191</v>
      </c>
      <c r="S8" s="379"/>
      <c r="T8" s="86" t="s">
        <v>191</v>
      </c>
      <c r="U8" s="379"/>
      <c r="V8" s="86" t="s">
        <v>191</v>
      </c>
      <c r="W8" s="172"/>
      <c r="X8" s="86" t="s">
        <v>191</v>
      </c>
      <c r="Y8" s="78"/>
      <c r="Z8" s="86" t="s">
        <v>191</v>
      </c>
      <c r="AA8" s="82"/>
      <c r="AB8" s="86" t="s">
        <v>191</v>
      </c>
      <c r="AC8" s="82"/>
      <c r="AD8" s="86" t="s">
        <v>191</v>
      </c>
      <c r="AE8" s="380"/>
    </row>
    <row r="9" spans="1:31" ht="9.75" customHeight="1" thickTop="1">
      <c r="A9" s="564" t="s">
        <v>314</v>
      </c>
      <c r="B9" s="564" t="s">
        <v>401</v>
      </c>
      <c r="C9" s="568">
        <v>24</v>
      </c>
      <c r="D9" s="568">
        <v>15</v>
      </c>
      <c r="E9" s="51">
        <v>0.0012</v>
      </c>
      <c r="F9" s="54">
        <f aca="true" t="shared" si="0" ref="F9:F48">(1.486/0.013)*((3.14*($C9*$C9)/4)/144)*SQRT($E9)*POWER($C9/12/4,2/3)</f>
        <v>7.832656200599217</v>
      </c>
      <c r="G9" s="102">
        <v>0</v>
      </c>
      <c r="H9" s="568">
        <v>1982</v>
      </c>
      <c r="I9" s="576">
        <v>11584</v>
      </c>
      <c r="J9" s="50">
        <f aca="true" t="shared" si="1" ref="J9:J49">(18+SQRT(I9/1000))/(4+SQRT(I9/1000))</f>
        <v>2.8909904562841646</v>
      </c>
      <c r="K9" s="54">
        <f>I9:I9*100*J9/(7.48*24*60*60)</f>
        <v>5.181910007797918</v>
      </c>
      <c r="L9" s="107">
        <f>F9</f>
        <v>7.832656200599217</v>
      </c>
      <c r="M9" s="575">
        <v>10424</v>
      </c>
      <c r="N9" s="569">
        <f>$J9*100*M9/(7.48*24*60*60)</f>
        <v>4.6630032735916345</v>
      </c>
      <c r="O9" s="565"/>
      <c r="P9" s="571">
        <v>0</v>
      </c>
      <c r="Q9" s="565">
        <v>315</v>
      </c>
      <c r="R9" s="571">
        <f aca="true" t="shared" si="2" ref="R9:R49">$J9*100*Q9/(7.48*24*60*60)</f>
        <v>0.14091001834049932</v>
      </c>
      <c r="S9" s="565"/>
      <c r="T9" s="571">
        <v>0</v>
      </c>
      <c r="U9" s="565"/>
      <c r="V9" s="571">
        <v>0</v>
      </c>
      <c r="W9" s="136"/>
      <c r="X9" s="571">
        <v>0</v>
      </c>
      <c r="Y9" s="565">
        <v>442</v>
      </c>
      <c r="Z9" s="571">
        <f aca="true" t="shared" si="3" ref="Z9:AB49">$J9*100*Y9/(7.48*24*60*60)</f>
        <v>0.1977213590682562</v>
      </c>
      <c r="AA9" s="173">
        <v>481</v>
      </c>
      <c r="AB9" s="571">
        <f t="shared" si="3"/>
        <v>0.2151673613389847</v>
      </c>
      <c r="AC9" s="173"/>
      <c r="AD9" s="571">
        <v>0</v>
      </c>
      <c r="AE9" s="576">
        <f aca="true" t="shared" si="4" ref="AE9:AE49">AC9+AA9+Y9+W9+U9+S9+Q9+O9+M9</f>
        <v>11662</v>
      </c>
    </row>
    <row r="10" spans="1:31" ht="9.75" customHeight="1">
      <c r="A10" s="267"/>
      <c r="B10" s="564" t="s">
        <v>225</v>
      </c>
      <c r="C10" s="568">
        <v>24</v>
      </c>
      <c r="D10" s="568">
        <v>37</v>
      </c>
      <c r="E10" s="51">
        <v>0.0012</v>
      </c>
      <c r="F10" s="54">
        <f t="shared" si="0"/>
        <v>7.832656200599217</v>
      </c>
      <c r="G10" s="102">
        <v>0</v>
      </c>
      <c r="H10" s="568">
        <v>1982</v>
      </c>
      <c r="I10" s="576">
        <v>11584</v>
      </c>
      <c r="J10" s="50">
        <f t="shared" si="1"/>
        <v>2.8909904562841646</v>
      </c>
      <c r="K10" s="54">
        <f aca="true" t="shared" si="5" ref="K10:K49">I10:I10*100*J10/(7.48*24*60*60)</f>
        <v>5.181910007797918</v>
      </c>
      <c r="L10" s="107">
        <f aca="true" t="shared" si="6" ref="L10:L49">F10</f>
        <v>7.832656200599217</v>
      </c>
      <c r="M10" s="575">
        <v>10424</v>
      </c>
      <c r="N10" s="569">
        <f aca="true" t="shared" si="7" ref="N10:N49">J10*100*M10/(7.48*24*60*60)</f>
        <v>4.6630032735916345</v>
      </c>
      <c r="O10" s="565"/>
      <c r="P10" s="571">
        <v>0</v>
      </c>
      <c r="Q10" s="565">
        <v>315</v>
      </c>
      <c r="R10" s="571">
        <f t="shared" si="2"/>
        <v>0.14091001834049932</v>
      </c>
      <c r="S10" s="565"/>
      <c r="T10" s="571">
        <v>0</v>
      </c>
      <c r="U10" s="565"/>
      <c r="V10" s="571">
        <v>0</v>
      </c>
      <c r="W10" s="565"/>
      <c r="X10" s="571">
        <v>0</v>
      </c>
      <c r="Y10" s="565">
        <v>442</v>
      </c>
      <c r="Z10" s="571">
        <f t="shared" si="3"/>
        <v>0.1977213590682562</v>
      </c>
      <c r="AA10" s="173">
        <v>481</v>
      </c>
      <c r="AB10" s="571">
        <f t="shared" si="3"/>
        <v>0.2151673613389847</v>
      </c>
      <c r="AC10" s="173"/>
      <c r="AD10" s="571">
        <v>0</v>
      </c>
      <c r="AE10" s="576">
        <f t="shared" si="4"/>
        <v>11662</v>
      </c>
    </row>
    <row r="11" spans="1:31" ht="9.75" customHeight="1">
      <c r="A11" s="564" t="s">
        <v>225</v>
      </c>
      <c r="B11" s="564" t="s">
        <v>314</v>
      </c>
      <c r="C11" s="568">
        <v>24</v>
      </c>
      <c r="D11" s="568">
        <v>311</v>
      </c>
      <c r="E11" s="51">
        <v>0.0012</v>
      </c>
      <c r="F11" s="54">
        <f t="shared" si="0"/>
        <v>7.832656200599217</v>
      </c>
      <c r="G11" s="102">
        <v>0</v>
      </c>
      <c r="H11" s="568">
        <v>1982</v>
      </c>
      <c r="I11" s="576">
        <v>12081</v>
      </c>
      <c r="J11" s="50">
        <f t="shared" si="1"/>
        <v>2.8727159649006664</v>
      </c>
      <c r="K11" s="54">
        <f t="shared" si="5"/>
        <v>5.3700735250738</v>
      </c>
      <c r="L11" s="107">
        <f t="shared" si="6"/>
        <v>7.832656200599217</v>
      </c>
      <c r="M11" s="575">
        <v>10921</v>
      </c>
      <c r="N11" s="569">
        <f t="shared" si="7"/>
        <v>4.854446897386887</v>
      </c>
      <c r="O11" s="136"/>
      <c r="P11" s="571">
        <v>0</v>
      </c>
      <c r="Q11" s="565">
        <v>315</v>
      </c>
      <c r="R11" s="571">
        <f t="shared" si="2"/>
        <v>0.14001929975980856</v>
      </c>
      <c r="S11" s="565"/>
      <c r="T11" s="571">
        <v>0</v>
      </c>
      <c r="U11" s="565"/>
      <c r="V11" s="571">
        <v>0</v>
      </c>
      <c r="W11" s="565"/>
      <c r="X11" s="571">
        <v>0</v>
      </c>
      <c r="Y11" s="565">
        <v>442</v>
      </c>
      <c r="Z11" s="571">
        <f t="shared" si="3"/>
        <v>0.19647152537725518</v>
      </c>
      <c r="AA11" s="173">
        <v>481</v>
      </c>
      <c r="AB11" s="571">
        <f t="shared" si="3"/>
        <v>0.21380724820466004</v>
      </c>
      <c r="AC11" s="173"/>
      <c r="AD11" s="571">
        <v>0</v>
      </c>
      <c r="AE11" s="576">
        <f t="shared" si="4"/>
        <v>12159</v>
      </c>
    </row>
    <row r="12" spans="1:31" ht="9.75" customHeight="1">
      <c r="A12" s="267"/>
      <c r="B12" s="267"/>
      <c r="C12" s="568">
        <v>24</v>
      </c>
      <c r="D12" s="568">
        <v>56</v>
      </c>
      <c r="E12" s="51">
        <v>0.0012</v>
      </c>
      <c r="F12" s="54">
        <f t="shared" si="0"/>
        <v>7.832656200599217</v>
      </c>
      <c r="G12" s="102">
        <v>0</v>
      </c>
      <c r="H12" s="568">
        <v>1982</v>
      </c>
      <c r="I12" s="576">
        <v>12081</v>
      </c>
      <c r="J12" s="50">
        <f t="shared" si="1"/>
        <v>2.8727159649006664</v>
      </c>
      <c r="K12" s="54">
        <f t="shared" si="5"/>
        <v>5.3700735250738</v>
      </c>
      <c r="L12" s="107">
        <f t="shared" si="6"/>
        <v>7.832656200599217</v>
      </c>
      <c r="M12" s="575">
        <v>10921</v>
      </c>
      <c r="N12" s="569">
        <f t="shared" si="7"/>
        <v>4.854446897386887</v>
      </c>
      <c r="O12" s="136"/>
      <c r="P12" s="571">
        <v>0</v>
      </c>
      <c r="Q12" s="565">
        <v>315</v>
      </c>
      <c r="R12" s="571">
        <f t="shared" si="2"/>
        <v>0.14001929975980856</v>
      </c>
      <c r="S12" s="565"/>
      <c r="T12" s="571">
        <v>0</v>
      </c>
      <c r="U12" s="136"/>
      <c r="V12" s="571">
        <v>0</v>
      </c>
      <c r="W12" s="136"/>
      <c r="X12" s="571">
        <v>0</v>
      </c>
      <c r="Y12" s="565">
        <v>442</v>
      </c>
      <c r="Z12" s="571">
        <f t="shared" si="3"/>
        <v>0.19647152537725518</v>
      </c>
      <c r="AA12" s="173">
        <v>481</v>
      </c>
      <c r="AB12" s="571">
        <f t="shared" si="3"/>
        <v>0.21380724820466004</v>
      </c>
      <c r="AC12" s="173"/>
      <c r="AD12" s="571">
        <v>0</v>
      </c>
      <c r="AE12" s="576">
        <f t="shared" si="4"/>
        <v>12159</v>
      </c>
    </row>
    <row r="13" spans="1:31" ht="9.75" customHeight="1">
      <c r="A13" s="267"/>
      <c r="B13" s="564" t="s">
        <v>402</v>
      </c>
      <c r="C13" s="568">
        <v>24</v>
      </c>
      <c r="D13" s="568" t="s">
        <v>384</v>
      </c>
      <c r="E13" s="51">
        <v>0.0012</v>
      </c>
      <c r="F13" s="54">
        <f t="shared" si="0"/>
        <v>7.832656200599217</v>
      </c>
      <c r="G13" s="102">
        <v>0</v>
      </c>
      <c r="H13" s="568">
        <v>1982</v>
      </c>
      <c r="I13" s="576">
        <v>12081</v>
      </c>
      <c r="J13" s="50">
        <f t="shared" si="1"/>
        <v>2.8727159649006664</v>
      </c>
      <c r="K13" s="54">
        <f t="shared" si="5"/>
        <v>5.3700735250738</v>
      </c>
      <c r="L13" s="107">
        <f t="shared" si="6"/>
        <v>7.832656200599217</v>
      </c>
      <c r="M13" s="575">
        <v>10921</v>
      </c>
      <c r="N13" s="569">
        <f t="shared" si="7"/>
        <v>4.854446897386887</v>
      </c>
      <c r="O13" s="136"/>
      <c r="P13" s="571">
        <v>0</v>
      </c>
      <c r="Q13" s="565">
        <v>315</v>
      </c>
      <c r="R13" s="571">
        <f t="shared" si="2"/>
        <v>0.14001929975980856</v>
      </c>
      <c r="S13" s="136"/>
      <c r="T13" s="571">
        <v>0</v>
      </c>
      <c r="U13" s="565"/>
      <c r="V13" s="571">
        <v>0</v>
      </c>
      <c r="W13" s="136"/>
      <c r="X13" s="571">
        <v>0</v>
      </c>
      <c r="Y13" s="565">
        <v>442</v>
      </c>
      <c r="Z13" s="571">
        <f t="shared" si="3"/>
        <v>0.19647152537725518</v>
      </c>
      <c r="AA13" s="173">
        <v>481</v>
      </c>
      <c r="AB13" s="571">
        <f t="shared" si="3"/>
        <v>0.21380724820466004</v>
      </c>
      <c r="AC13" s="173"/>
      <c r="AD13" s="571">
        <v>0</v>
      </c>
      <c r="AE13" s="576">
        <f t="shared" si="4"/>
        <v>12159</v>
      </c>
    </row>
    <row r="14" spans="1:31" ht="9.75" customHeight="1">
      <c r="A14" s="564" t="s">
        <v>402</v>
      </c>
      <c r="B14" s="564" t="s">
        <v>225</v>
      </c>
      <c r="C14" s="568">
        <v>24</v>
      </c>
      <c r="D14" s="568" t="s">
        <v>386</v>
      </c>
      <c r="E14" s="51">
        <v>0.0012</v>
      </c>
      <c r="F14" s="54">
        <f t="shared" si="0"/>
        <v>7.832656200599217</v>
      </c>
      <c r="G14" s="102">
        <v>0</v>
      </c>
      <c r="H14" s="568">
        <v>1982</v>
      </c>
      <c r="I14" s="576">
        <f>I$19</f>
        <v>13233</v>
      </c>
      <c r="J14" s="50">
        <f t="shared" si="1"/>
        <v>2.8330079804994868</v>
      </c>
      <c r="K14" s="54">
        <f t="shared" si="5"/>
        <v>5.800838440463103</v>
      </c>
      <c r="L14" s="102">
        <f t="shared" si="6"/>
        <v>7.832656200599217</v>
      </c>
      <c r="M14" s="575">
        <f>M$19</f>
        <v>12073</v>
      </c>
      <c r="N14" s="569">
        <f t="shared" si="7"/>
        <v>5.292339038140335</v>
      </c>
      <c r="O14" s="565"/>
      <c r="P14" s="569">
        <v>0</v>
      </c>
      <c r="Q14" s="173">
        <f>Q$19</f>
        <v>315</v>
      </c>
      <c r="R14" s="571">
        <f t="shared" si="2"/>
        <v>0.13808388942385533</v>
      </c>
      <c r="S14" s="565"/>
      <c r="T14" s="571">
        <v>0</v>
      </c>
      <c r="U14" s="565"/>
      <c r="V14" s="571">
        <v>0</v>
      </c>
      <c r="W14" s="136"/>
      <c r="X14" s="571">
        <v>0</v>
      </c>
      <c r="Y14" s="565">
        <v>442</v>
      </c>
      <c r="Z14" s="571">
        <f t="shared" si="3"/>
        <v>0.193755806747124</v>
      </c>
      <c r="AA14" s="173">
        <v>481</v>
      </c>
      <c r="AB14" s="571">
        <f t="shared" si="3"/>
        <v>0.21085190734245848</v>
      </c>
      <c r="AC14" s="173"/>
      <c r="AD14" s="571">
        <v>0</v>
      </c>
      <c r="AE14" s="576">
        <f t="shared" si="4"/>
        <v>13311</v>
      </c>
    </row>
    <row r="15" spans="1:31" ht="9.75" customHeight="1">
      <c r="A15" s="267"/>
      <c r="B15" s="564" t="s">
        <v>387</v>
      </c>
      <c r="C15" s="568">
        <v>24</v>
      </c>
      <c r="D15" s="568">
        <v>293</v>
      </c>
      <c r="E15" s="51">
        <v>0.0012</v>
      </c>
      <c r="F15" s="54">
        <f t="shared" si="0"/>
        <v>7.832656200599217</v>
      </c>
      <c r="G15" s="102">
        <v>0</v>
      </c>
      <c r="H15" s="568">
        <v>1982</v>
      </c>
      <c r="I15" s="576">
        <f>I$19</f>
        <v>13233</v>
      </c>
      <c r="J15" s="50">
        <f t="shared" si="1"/>
        <v>2.8330079804994868</v>
      </c>
      <c r="K15" s="54">
        <f t="shared" si="5"/>
        <v>5.800838440463103</v>
      </c>
      <c r="L15" s="102">
        <f t="shared" si="6"/>
        <v>7.832656200599217</v>
      </c>
      <c r="M15" s="575">
        <f>M$19</f>
        <v>12073</v>
      </c>
      <c r="N15" s="569">
        <f t="shared" si="7"/>
        <v>5.292339038140335</v>
      </c>
      <c r="O15" s="136"/>
      <c r="P15" s="569">
        <v>0</v>
      </c>
      <c r="Q15" s="173">
        <f>Q$19</f>
        <v>315</v>
      </c>
      <c r="R15" s="571">
        <f t="shared" si="2"/>
        <v>0.13808388942385533</v>
      </c>
      <c r="S15" s="136"/>
      <c r="T15" s="571">
        <v>0</v>
      </c>
      <c r="U15" s="565"/>
      <c r="V15" s="571">
        <v>0</v>
      </c>
      <c r="W15" s="136"/>
      <c r="X15" s="571">
        <v>0</v>
      </c>
      <c r="Y15" s="565">
        <v>442</v>
      </c>
      <c r="Z15" s="571">
        <f t="shared" si="3"/>
        <v>0.193755806747124</v>
      </c>
      <c r="AA15" s="173">
        <v>481</v>
      </c>
      <c r="AB15" s="571">
        <f t="shared" si="3"/>
        <v>0.21085190734245848</v>
      </c>
      <c r="AC15" s="173"/>
      <c r="AD15" s="571">
        <v>0</v>
      </c>
      <c r="AE15" s="576">
        <f t="shared" si="4"/>
        <v>13311</v>
      </c>
    </row>
    <row r="16" spans="1:31" ht="9.75" customHeight="1">
      <c r="A16" s="564" t="s">
        <v>402</v>
      </c>
      <c r="B16" s="564" t="s">
        <v>388</v>
      </c>
      <c r="C16" s="568">
        <v>27</v>
      </c>
      <c r="D16" s="568">
        <v>384</v>
      </c>
      <c r="E16" s="51">
        <v>0.0018</v>
      </c>
      <c r="F16" s="54">
        <f t="shared" si="0"/>
        <v>13.132923681780614</v>
      </c>
      <c r="G16" s="102">
        <v>0</v>
      </c>
      <c r="H16" s="568">
        <v>1995</v>
      </c>
      <c r="I16" s="576">
        <f>I$19</f>
        <v>13233</v>
      </c>
      <c r="J16" s="50">
        <f t="shared" si="1"/>
        <v>2.8330079804994868</v>
      </c>
      <c r="K16" s="54">
        <f t="shared" si="5"/>
        <v>5.800838440463103</v>
      </c>
      <c r="L16" s="102">
        <f t="shared" si="6"/>
        <v>13.132923681780614</v>
      </c>
      <c r="M16" s="575">
        <f>M$19</f>
        <v>12073</v>
      </c>
      <c r="N16" s="569">
        <f t="shared" si="7"/>
        <v>5.292339038140335</v>
      </c>
      <c r="O16" s="565"/>
      <c r="P16" s="569">
        <v>0</v>
      </c>
      <c r="Q16" s="173">
        <f>Q$19</f>
        <v>315</v>
      </c>
      <c r="R16" s="571">
        <f t="shared" si="2"/>
        <v>0.13808388942385533</v>
      </c>
      <c r="S16" s="565"/>
      <c r="T16" s="571">
        <v>0</v>
      </c>
      <c r="U16" s="136"/>
      <c r="V16" s="571">
        <v>0</v>
      </c>
      <c r="W16" s="136"/>
      <c r="X16" s="571">
        <v>0</v>
      </c>
      <c r="Y16" s="565">
        <v>442</v>
      </c>
      <c r="Z16" s="571">
        <f t="shared" si="3"/>
        <v>0.193755806747124</v>
      </c>
      <c r="AA16" s="173">
        <v>481</v>
      </c>
      <c r="AB16" s="571">
        <f t="shared" si="3"/>
        <v>0.21085190734245848</v>
      </c>
      <c r="AC16" s="187"/>
      <c r="AD16" s="571">
        <v>0</v>
      </c>
      <c r="AE16" s="576">
        <f t="shared" si="4"/>
        <v>13311</v>
      </c>
    </row>
    <row r="17" spans="1:31" ht="9.75" customHeight="1">
      <c r="A17" s="267"/>
      <c r="B17" s="564" t="s">
        <v>227</v>
      </c>
      <c r="C17" s="568">
        <v>27</v>
      </c>
      <c r="D17" s="568">
        <v>250</v>
      </c>
      <c r="E17" s="51">
        <v>0.0018</v>
      </c>
      <c r="F17" s="54">
        <f t="shared" si="0"/>
        <v>13.132923681780614</v>
      </c>
      <c r="G17" s="102" t="s">
        <v>220</v>
      </c>
      <c r="H17" s="568">
        <v>1995</v>
      </c>
      <c r="I17" s="576">
        <f>I$19</f>
        <v>13233</v>
      </c>
      <c r="J17" s="50">
        <f t="shared" si="1"/>
        <v>2.8330079804994868</v>
      </c>
      <c r="K17" s="54">
        <f t="shared" si="5"/>
        <v>5.800838440463103</v>
      </c>
      <c r="L17" s="102">
        <f t="shared" si="6"/>
        <v>13.132923681780614</v>
      </c>
      <c r="M17" s="575">
        <f>M$19</f>
        <v>12073</v>
      </c>
      <c r="N17" s="569">
        <f t="shared" si="7"/>
        <v>5.292339038140335</v>
      </c>
      <c r="O17" s="136"/>
      <c r="P17" s="569">
        <v>0</v>
      </c>
      <c r="Q17" s="173">
        <f>Q$19</f>
        <v>315</v>
      </c>
      <c r="R17" s="571">
        <f t="shared" si="2"/>
        <v>0.13808388942385533</v>
      </c>
      <c r="S17" s="565"/>
      <c r="T17" s="571">
        <v>0</v>
      </c>
      <c r="U17" s="136"/>
      <c r="V17" s="571">
        <v>0</v>
      </c>
      <c r="W17" s="136"/>
      <c r="X17" s="571">
        <v>0</v>
      </c>
      <c r="Y17" s="565">
        <v>442</v>
      </c>
      <c r="Z17" s="571">
        <f t="shared" si="3"/>
        <v>0.193755806747124</v>
      </c>
      <c r="AA17" s="173">
        <v>481</v>
      </c>
      <c r="AB17" s="571">
        <f t="shared" si="3"/>
        <v>0.21085190734245848</v>
      </c>
      <c r="AC17" s="187"/>
      <c r="AD17" s="571">
        <v>0</v>
      </c>
      <c r="AE17" s="576">
        <f t="shared" si="4"/>
        <v>13311</v>
      </c>
    </row>
    <row r="18" spans="1:31" ht="9.75" customHeight="1">
      <c r="A18" s="267"/>
      <c r="B18" s="564" t="s">
        <v>389</v>
      </c>
      <c r="C18" s="568">
        <v>27</v>
      </c>
      <c r="D18" s="568">
        <v>55</v>
      </c>
      <c r="E18" s="51">
        <v>0.0018</v>
      </c>
      <c r="F18" s="54">
        <f t="shared" si="0"/>
        <v>13.132923681780614</v>
      </c>
      <c r="G18" s="102">
        <v>0</v>
      </c>
      <c r="H18" s="568" t="s">
        <v>390</v>
      </c>
      <c r="I18" s="576">
        <f>I$19</f>
        <v>13233</v>
      </c>
      <c r="J18" s="50">
        <f t="shared" si="1"/>
        <v>2.8330079804994868</v>
      </c>
      <c r="K18" s="54">
        <f t="shared" si="5"/>
        <v>5.800838440463103</v>
      </c>
      <c r="L18" s="102">
        <f t="shared" si="6"/>
        <v>13.132923681780614</v>
      </c>
      <c r="M18" s="575">
        <f>M$19</f>
        <v>12073</v>
      </c>
      <c r="N18" s="569">
        <f t="shared" si="7"/>
        <v>5.292339038140335</v>
      </c>
      <c r="O18" s="136"/>
      <c r="P18" s="569">
        <v>0</v>
      </c>
      <c r="Q18" s="173">
        <f>Q$19</f>
        <v>315</v>
      </c>
      <c r="R18" s="571">
        <f t="shared" si="2"/>
        <v>0.13808388942385533</v>
      </c>
      <c r="S18" s="565"/>
      <c r="T18" s="571">
        <v>0</v>
      </c>
      <c r="U18" s="136"/>
      <c r="V18" s="571">
        <v>0</v>
      </c>
      <c r="W18" s="136"/>
      <c r="X18" s="571">
        <v>0</v>
      </c>
      <c r="Y18" s="565">
        <v>442</v>
      </c>
      <c r="Z18" s="571">
        <f t="shared" si="3"/>
        <v>0.193755806747124</v>
      </c>
      <c r="AA18" s="173">
        <v>481</v>
      </c>
      <c r="AB18" s="571">
        <f t="shared" si="3"/>
        <v>0.21085190734245848</v>
      </c>
      <c r="AC18" s="173"/>
      <c r="AD18" s="571">
        <v>0</v>
      </c>
      <c r="AE18" s="576">
        <f t="shared" si="4"/>
        <v>13311</v>
      </c>
    </row>
    <row r="19" spans="1:31" ht="9.75" customHeight="1">
      <c r="A19" s="564" t="s">
        <v>389</v>
      </c>
      <c r="B19" s="564" t="s">
        <v>385</v>
      </c>
      <c r="C19" s="568">
        <v>27</v>
      </c>
      <c r="D19" s="568">
        <v>270</v>
      </c>
      <c r="E19" s="51">
        <v>0.0018</v>
      </c>
      <c r="F19" s="54">
        <f t="shared" si="0"/>
        <v>13.132923681780614</v>
      </c>
      <c r="G19" s="102">
        <v>0</v>
      </c>
      <c r="H19" s="568">
        <v>1995</v>
      </c>
      <c r="I19" s="576">
        <v>13233</v>
      </c>
      <c r="J19" s="50">
        <f t="shared" si="1"/>
        <v>2.8330079804994868</v>
      </c>
      <c r="K19" s="54">
        <f t="shared" si="5"/>
        <v>5.800838440463103</v>
      </c>
      <c r="L19" s="107">
        <f t="shared" si="6"/>
        <v>13.132923681780614</v>
      </c>
      <c r="M19" s="575">
        <v>12073</v>
      </c>
      <c r="N19" s="569">
        <f t="shared" si="7"/>
        <v>5.292339038140335</v>
      </c>
      <c r="O19" s="136"/>
      <c r="P19" s="571">
        <v>0</v>
      </c>
      <c r="Q19" s="565">
        <v>315</v>
      </c>
      <c r="R19" s="571">
        <f t="shared" si="2"/>
        <v>0.13808388942385533</v>
      </c>
      <c r="S19" s="136"/>
      <c r="T19" s="571">
        <v>0</v>
      </c>
      <c r="U19" s="136"/>
      <c r="V19" s="571">
        <v>0</v>
      </c>
      <c r="W19" s="136"/>
      <c r="X19" s="571">
        <v>0</v>
      </c>
      <c r="Y19" s="565">
        <v>442</v>
      </c>
      <c r="Z19" s="571">
        <f t="shared" si="3"/>
        <v>0.193755806747124</v>
      </c>
      <c r="AA19" s="173">
        <v>481</v>
      </c>
      <c r="AB19" s="571">
        <f t="shared" si="3"/>
        <v>0.21085190734245848</v>
      </c>
      <c r="AC19" s="173"/>
      <c r="AD19" s="571">
        <v>0</v>
      </c>
      <c r="AE19" s="576">
        <f t="shared" si="4"/>
        <v>13311</v>
      </c>
    </row>
    <row r="20" spans="1:31" ht="9.75" customHeight="1">
      <c r="A20" s="267"/>
      <c r="B20" s="564" t="s">
        <v>391</v>
      </c>
      <c r="C20" s="568">
        <v>27</v>
      </c>
      <c r="D20" s="568">
        <v>65</v>
      </c>
      <c r="E20" s="51">
        <v>0.0018</v>
      </c>
      <c r="F20" s="54">
        <f t="shared" si="0"/>
        <v>13.132923681780614</v>
      </c>
      <c r="G20" s="102">
        <v>0</v>
      </c>
      <c r="H20" s="568">
        <v>1995</v>
      </c>
      <c r="I20" s="576">
        <v>13233</v>
      </c>
      <c r="J20" s="50">
        <f t="shared" si="1"/>
        <v>2.8330079804994868</v>
      </c>
      <c r="K20" s="54">
        <f t="shared" si="5"/>
        <v>5.800838440463103</v>
      </c>
      <c r="L20" s="107">
        <f t="shared" si="6"/>
        <v>13.132923681780614</v>
      </c>
      <c r="M20" s="575">
        <v>12073</v>
      </c>
      <c r="N20" s="569">
        <f t="shared" si="7"/>
        <v>5.292339038140335</v>
      </c>
      <c r="O20" s="565"/>
      <c r="P20" s="571">
        <v>0</v>
      </c>
      <c r="Q20" s="565">
        <v>315</v>
      </c>
      <c r="R20" s="571">
        <f t="shared" si="2"/>
        <v>0.13808388942385533</v>
      </c>
      <c r="S20" s="136"/>
      <c r="T20" s="571">
        <v>0</v>
      </c>
      <c r="U20" s="136"/>
      <c r="V20" s="571">
        <v>0</v>
      </c>
      <c r="W20" s="136"/>
      <c r="X20" s="571">
        <v>0</v>
      </c>
      <c r="Y20" s="565">
        <v>442</v>
      </c>
      <c r="Z20" s="571">
        <f t="shared" si="3"/>
        <v>0.193755806747124</v>
      </c>
      <c r="AA20" s="173">
        <v>481</v>
      </c>
      <c r="AB20" s="571">
        <f t="shared" si="3"/>
        <v>0.21085190734245848</v>
      </c>
      <c r="AC20" s="173"/>
      <c r="AD20" s="571">
        <v>0</v>
      </c>
      <c r="AE20" s="576">
        <f t="shared" si="4"/>
        <v>13311</v>
      </c>
    </row>
    <row r="21" spans="1:31" ht="9.75" customHeight="1">
      <c r="A21" s="564" t="s">
        <v>391</v>
      </c>
      <c r="B21" s="564" t="s">
        <v>389</v>
      </c>
      <c r="C21" s="568">
        <v>27</v>
      </c>
      <c r="D21" s="568">
        <v>293</v>
      </c>
      <c r="E21" s="51">
        <v>0.0018</v>
      </c>
      <c r="F21" s="54">
        <f t="shared" si="0"/>
        <v>13.132923681780614</v>
      </c>
      <c r="G21" s="102">
        <v>0</v>
      </c>
      <c r="H21" s="568">
        <v>1995</v>
      </c>
      <c r="I21" s="576">
        <v>13233</v>
      </c>
      <c r="J21" s="50">
        <f t="shared" si="1"/>
        <v>2.8330079804994868</v>
      </c>
      <c r="K21" s="54">
        <f t="shared" si="5"/>
        <v>5.800838440463103</v>
      </c>
      <c r="L21" s="107">
        <f t="shared" si="6"/>
        <v>13.132923681780614</v>
      </c>
      <c r="M21" s="575">
        <v>12073</v>
      </c>
      <c r="N21" s="569">
        <f t="shared" si="7"/>
        <v>5.292339038140335</v>
      </c>
      <c r="O21" s="136"/>
      <c r="P21" s="571">
        <v>0</v>
      </c>
      <c r="Q21" s="565">
        <v>315</v>
      </c>
      <c r="R21" s="571">
        <f t="shared" si="2"/>
        <v>0.13808388942385533</v>
      </c>
      <c r="S21" s="565"/>
      <c r="T21" s="571">
        <v>0</v>
      </c>
      <c r="U21" s="136"/>
      <c r="V21" s="571">
        <v>0</v>
      </c>
      <c r="W21" s="136"/>
      <c r="X21" s="571">
        <v>0</v>
      </c>
      <c r="Y21" s="565">
        <v>442</v>
      </c>
      <c r="Z21" s="571">
        <f t="shared" si="3"/>
        <v>0.193755806747124</v>
      </c>
      <c r="AA21" s="173">
        <v>481</v>
      </c>
      <c r="AB21" s="571">
        <f t="shared" si="3"/>
        <v>0.21085190734245848</v>
      </c>
      <c r="AC21" s="173"/>
      <c r="AD21" s="571">
        <v>0</v>
      </c>
      <c r="AE21" s="576">
        <f t="shared" si="4"/>
        <v>13311</v>
      </c>
    </row>
    <row r="22" spans="1:31" ht="9.75" customHeight="1">
      <c r="A22" s="267"/>
      <c r="B22" s="267"/>
      <c r="C22" s="568">
        <v>27</v>
      </c>
      <c r="D22" s="568">
        <v>318</v>
      </c>
      <c r="E22" s="51">
        <v>0.0018</v>
      </c>
      <c r="F22" s="54">
        <f t="shared" si="0"/>
        <v>13.132923681780614</v>
      </c>
      <c r="G22" s="102">
        <v>0</v>
      </c>
      <c r="H22" s="568">
        <v>1995</v>
      </c>
      <c r="I22" s="576">
        <v>13233</v>
      </c>
      <c r="J22" s="50">
        <f t="shared" si="1"/>
        <v>2.8330079804994868</v>
      </c>
      <c r="K22" s="54">
        <f t="shared" si="5"/>
        <v>5.800838440463103</v>
      </c>
      <c r="L22" s="107">
        <f t="shared" si="6"/>
        <v>13.132923681780614</v>
      </c>
      <c r="M22" s="575">
        <f aca="true" t="shared" si="8" ref="M22:M27">M$28</f>
        <v>12073</v>
      </c>
      <c r="N22" s="569">
        <f t="shared" si="7"/>
        <v>5.292339038140335</v>
      </c>
      <c r="O22" s="136"/>
      <c r="P22" s="571">
        <v>0</v>
      </c>
      <c r="Q22" s="565">
        <f aca="true" t="shared" si="9" ref="Q22:Q27">Q$28</f>
        <v>315</v>
      </c>
      <c r="R22" s="571">
        <f t="shared" si="2"/>
        <v>0.13808388942385533</v>
      </c>
      <c r="S22" s="565"/>
      <c r="T22" s="571">
        <v>0</v>
      </c>
      <c r="U22" s="136"/>
      <c r="V22" s="571">
        <v>0</v>
      </c>
      <c r="W22" s="565"/>
      <c r="X22" s="571">
        <v>0</v>
      </c>
      <c r="Y22" s="565">
        <v>442</v>
      </c>
      <c r="Z22" s="571">
        <f t="shared" si="3"/>
        <v>0.193755806747124</v>
      </c>
      <c r="AA22" s="173">
        <v>481</v>
      </c>
      <c r="AB22" s="571">
        <f t="shared" si="3"/>
        <v>0.21085190734245848</v>
      </c>
      <c r="AC22" s="173"/>
      <c r="AD22" s="571">
        <v>0</v>
      </c>
      <c r="AE22" s="576">
        <f t="shared" si="4"/>
        <v>13311</v>
      </c>
    </row>
    <row r="23" spans="1:31" ht="9.75" customHeight="1">
      <c r="A23" s="267"/>
      <c r="B23" s="564" t="s">
        <v>356</v>
      </c>
      <c r="C23" s="568">
        <v>27</v>
      </c>
      <c r="D23" s="568">
        <v>348</v>
      </c>
      <c r="E23" s="51">
        <v>0.0018</v>
      </c>
      <c r="F23" s="54">
        <f t="shared" si="0"/>
        <v>13.132923681780614</v>
      </c>
      <c r="G23" s="102">
        <v>0</v>
      </c>
      <c r="H23" s="568">
        <v>1995</v>
      </c>
      <c r="I23" s="576">
        <v>13233</v>
      </c>
      <c r="J23" s="50">
        <f t="shared" si="1"/>
        <v>2.8330079804994868</v>
      </c>
      <c r="K23" s="54">
        <f t="shared" si="5"/>
        <v>5.800838440463103</v>
      </c>
      <c r="L23" s="107">
        <f t="shared" si="6"/>
        <v>13.132923681780614</v>
      </c>
      <c r="M23" s="575">
        <f t="shared" si="8"/>
        <v>12073</v>
      </c>
      <c r="N23" s="569">
        <f t="shared" si="7"/>
        <v>5.292339038140335</v>
      </c>
      <c r="O23" s="565"/>
      <c r="P23" s="571">
        <v>0</v>
      </c>
      <c r="Q23" s="565">
        <f t="shared" si="9"/>
        <v>315</v>
      </c>
      <c r="R23" s="571">
        <f t="shared" si="2"/>
        <v>0.13808388942385533</v>
      </c>
      <c r="S23" s="565"/>
      <c r="T23" s="571">
        <v>0</v>
      </c>
      <c r="U23" s="565"/>
      <c r="V23" s="571">
        <v>0</v>
      </c>
      <c r="W23" s="136"/>
      <c r="X23" s="571">
        <v>0</v>
      </c>
      <c r="Y23" s="565">
        <v>442</v>
      </c>
      <c r="Z23" s="571">
        <f t="shared" si="3"/>
        <v>0.193755806747124</v>
      </c>
      <c r="AA23" s="173">
        <v>481</v>
      </c>
      <c r="AB23" s="571">
        <f t="shared" si="3"/>
        <v>0.21085190734245848</v>
      </c>
      <c r="AC23" s="187"/>
      <c r="AD23" s="571">
        <v>0</v>
      </c>
      <c r="AE23" s="576">
        <f t="shared" si="4"/>
        <v>13311</v>
      </c>
    </row>
    <row r="24" spans="1:31" ht="9.75" customHeight="1">
      <c r="A24" s="267"/>
      <c r="B24" s="267"/>
      <c r="C24" s="568">
        <v>27</v>
      </c>
      <c r="D24" s="568">
        <v>346</v>
      </c>
      <c r="E24" s="51">
        <v>0.0018</v>
      </c>
      <c r="F24" s="54">
        <f t="shared" si="0"/>
        <v>13.132923681780614</v>
      </c>
      <c r="G24" s="102" t="s">
        <v>220</v>
      </c>
      <c r="H24" s="568">
        <v>1995</v>
      </c>
      <c r="I24" s="576">
        <f>I$28</f>
        <v>13233</v>
      </c>
      <c r="J24" s="50">
        <f t="shared" si="1"/>
        <v>2.8330079804994868</v>
      </c>
      <c r="K24" s="54">
        <f t="shared" si="5"/>
        <v>5.800838440463103</v>
      </c>
      <c r="L24" s="107">
        <f t="shared" si="6"/>
        <v>13.132923681780614</v>
      </c>
      <c r="M24" s="575">
        <f t="shared" si="8"/>
        <v>12073</v>
      </c>
      <c r="N24" s="569">
        <f t="shared" si="7"/>
        <v>5.292339038140335</v>
      </c>
      <c r="O24" s="565"/>
      <c r="P24" s="571">
        <v>0</v>
      </c>
      <c r="Q24" s="565">
        <f t="shared" si="9"/>
        <v>315</v>
      </c>
      <c r="R24" s="571">
        <f t="shared" si="2"/>
        <v>0.13808388942385533</v>
      </c>
      <c r="S24" s="565"/>
      <c r="T24" s="571">
        <v>0</v>
      </c>
      <c r="U24" s="136"/>
      <c r="V24" s="571">
        <v>0</v>
      </c>
      <c r="W24" s="136"/>
      <c r="X24" s="571">
        <v>0</v>
      </c>
      <c r="Y24" s="565">
        <v>442</v>
      </c>
      <c r="Z24" s="571">
        <f t="shared" si="3"/>
        <v>0.193755806747124</v>
      </c>
      <c r="AA24" s="173">
        <v>481</v>
      </c>
      <c r="AB24" s="571">
        <f t="shared" si="3"/>
        <v>0.21085190734245848</v>
      </c>
      <c r="AC24" s="187"/>
      <c r="AD24" s="571">
        <v>0</v>
      </c>
      <c r="AE24" s="576">
        <f t="shared" si="4"/>
        <v>13311</v>
      </c>
    </row>
    <row r="25" spans="1:31" ht="9.75" customHeight="1">
      <c r="A25" s="267"/>
      <c r="B25" s="564" t="s">
        <v>392</v>
      </c>
      <c r="C25" s="568">
        <v>27</v>
      </c>
      <c r="D25" s="568">
        <v>312</v>
      </c>
      <c r="E25" s="51">
        <v>0.0018</v>
      </c>
      <c r="F25" s="54">
        <f t="shared" si="0"/>
        <v>13.132923681780614</v>
      </c>
      <c r="G25" s="102">
        <v>0</v>
      </c>
      <c r="H25" s="568">
        <v>1995</v>
      </c>
      <c r="I25" s="576">
        <f>I$28</f>
        <v>13233</v>
      </c>
      <c r="J25" s="50">
        <f t="shared" si="1"/>
        <v>2.8330079804994868</v>
      </c>
      <c r="K25" s="54">
        <f t="shared" si="5"/>
        <v>5.800838440463103</v>
      </c>
      <c r="L25" s="107">
        <f t="shared" si="6"/>
        <v>13.132923681780614</v>
      </c>
      <c r="M25" s="575">
        <f t="shared" si="8"/>
        <v>12073</v>
      </c>
      <c r="N25" s="569">
        <f t="shared" si="7"/>
        <v>5.292339038140335</v>
      </c>
      <c r="O25" s="565"/>
      <c r="P25" s="571">
        <v>0</v>
      </c>
      <c r="Q25" s="565">
        <f t="shared" si="9"/>
        <v>315</v>
      </c>
      <c r="R25" s="571">
        <f t="shared" si="2"/>
        <v>0.13808388942385533</v>
      </c>
      <c r="S25" s="136"/>
      <c r="T25" s="571">
        <v>0</v>
      </c>
      <c r="U25" s="565"/>
      <c r="V25" s="571">
        <v>0</v>
      </c>
      <c r="W25" s="565"/>
      <c r="X25" s="571">
        <v>0</v>
      </c>
      <c r="Y25" s="565">
        <v>442</v>
      </c>
      <c r="Z25" s="571">
        <f t="shared" si="3"/>
        <v>0.193755806747124</v>
      </c>
      <c r="AA25" s="173">
        <v>481</v>
      </c>
      <c r="AB25" s="571">
        <f t="shared" si="3"/>
        <v>0.21085190734245848</v>
      </c>
      <c r="AC25" s="187"/>
      <c r="AD25" s="571">
        <v>0</v>
      </c>
      <c r="AE25" s="576">
        <f t="shared" si="4"/>
        <v>13311</v>
      </c>
    </row>
    <row r="26" spans="1:31" ht="9.75" customHeight="1">
      <c r="A26" s="267"/>
      <c r="B26" s="564" t="s">
        <v>499</v>
      </c>
      <c r="C26" s="568">
        <v>27</v>
      </c>
      <c r="D26" s="568">
        <v>306</v>
      </c>
      <c r="E26" s="51">
        <v>0.0018</v>
      </c>
      <c r="F26" s="54">
        <f t="shared" si="0"/>
        <v>13.132923681780614</v>
      </c>
      <c r="G26" s="102">
        <v>0</v>
      </c>
      <c r="H26" s="568">
        <v>1995</v>
      </c>
      <c r="I26" s="576">
        <f>I$28</f>
        <v>13233</v>
      </c>
      <c r="J26" s="50">
        <f t="shared" si="1"/>
        <v>2.8330079804994868</v>
      </c>
      <c r="K26" s="54">
        <f t="shared" si="5"/>
        <v>5.800838440463103</v>
      </c>
      <c r="L26" s="107">
        <f t="shared" si="6"/>
        <v>13.132923681780614</v>
      </c>
      <c r="M26" s="575">
        <f t="shared" si="8"/>
        <v>12073</v>
      </c>
      <c r="N26" s="569">
        <f t="shared" si="7"/>
        <v>5.292339038140335</v>
      </c>
      <c r="O26" s="136"/>
      <c r="P26" s="571">
        <v>0</v>
      </c>
      <c r="Q26" s="565">
        <f t="shared" si="9"/>
        <v>315</v>
      </c>
      <c r="R26" s="571">
        <f t="shared" si="2"/>
        <v>0.13808388942385533</v>
      </c>
      <c r="S26" s="565"/>
      <c r="T26" s="571">
        <v>0</v>
      </c>
      <c r="U26" s="136"/>
      <c r="V26" s="571">
        <v>0</v>
      </c>
      <c r="W26" s="136"/>
      <c r="X26" s="571">
        <v>0</v>
      </c>
      <c r="Y26" s="565">
        <v>442</v>
      </c>
      <c r="Z26" s="571">
        <f t="shared" si="3"/>
        <v>0.193755806747124</v>
      </c>
      <c r="AA26" s="173">
        <v>481</v>
      </c>
      <c r="AB26" s="571">
        <f t="shared" si="3"/>
        <v>0.21085190734245848</v>
      </c>
      <c r="AC26" s="187"/>
      <c r="AD26" s="571">
        <v>0</v>
      </c>
      <c r="AE26" s="576">
        <f t="shared" si="4"/>
        <v>13311</v>
      </c>
    </row>
    <row r="27" spans="1:31" ht="9.75" customHeight="1">
      <c r="A27" s="267"/>
      <c r="B27" s="564" t="s">
        <v>393</v>
      </c>
      <c r="C27" s="568">
        <v>27</v>
      </c>
      <c r="D27" s="568">
        <v>337</v>
      </c>
      <c r="E27" s="51">
        <v>0.0018</v>
      </c>
      <c r="F27" s="54">
        <f t="shared" si="0"/>
        <v>13.132923681780614</v>
      </c>
      <c r="G27" s="102">
        <v>0</v>
      </c>
      <c r="H27" s="568">
        <v>1995</v>
      </c>
      <c r="I27" s="576">
        <f>I$28</f>
        <v>13233</v>
      </c>
      <c r="J27" s="50">
        <f t="shared" si="1"/>
        <v>2.8330079804994868</v>
      </c>
      <c r="K27" s="54">
        <f t="shared" si="5"/>
        <v>5.800838440463103</v>
      </c>
      <c r="L27" s="107">
        <f t="shared" si="6"/>
        <v>13.132923681780614</v>
      </c>
      <c r="M27" s="575">
        <f t="shared" si="8"/>
        <v>12073</v>
      </c>
      <c r="N27" s="569">
        <f t="shared" si="7"/>
        <v>5.292339038140335</v>
      </c>
      <c r="O27" s="565"/>
      <c r="P27" s="571">
        <v>0</v>
      </c>
      <c r="Q27" s="565">
        <f t="shared" si="9"/>
        <v>315</v>
      </c>
      <c r="R27" s="571">
        <f t="shared" si="2"/>
        <v>0.13808388942385533</v>
      </c>
      <c r="S27" s="136"/>
      <c r="T27" s="571">
        <v>0</v>
      </c>
      <c r="U27" s="565"/>
      <c r="V27" s="571">
        <v>0</v>
      </c>
      <c r="W27" s="136"/>
      <c r="X27" s="571">
        <v>0</v>
      </c>
      <c r="Y27" s="565">
        <v>442</v>
      </c>
      <c r="Z27" s="571">
        <f t="shared" si="3"/>
        <v>0.193755806747124</v>
      </c>
      <c r="AA27" s="173">
        <v>431</v>
      </c>
      <c r="AB27" s="571">
        <f t="shared" si="3"/>
        <v>0.18893382965613223</v>
      </c>
      <c r="AC27" s="187"/>
      <c r="AD27" s="571">
        <v>0</v>
      </c>
      <c r="AE27" s="576">
        <f t="shared" si="4"/>
        <v>13261</v>
      </c>
    </row>
    <row r="28" spans="1:31" ht="9.75" customHeight="1">
      <c r="A28" s="267"/>
      <c r="B28" s="564" t="s">
        <v>394</v>
      </c>
      <c r="C28" s="568">
        <v>27</v>
      </c>
      <c r="D28" s="568">
        <v>293</v>
      </c>
      <c r="E28" s="51">
        <v>0.0018</v>
      </c>
      <c r="F28" s="54">
        <f t="shared" si="0"/>
        <v>13.132923681780614</v>
      </c>
      <c r="G28" s="102">
        <v>0</v>
      </c>
      <c r="H28" s="568" t="s">
        <v>390</v>
      </c>
      <c r="I28" s="576">
        <v>13233</v>
      </c>
      <c r="J28" s="50">
        <f t="shared" si="1"/>
        <v>2.8330079804994868</v>
      </c>
      <c r="K28" s="54">
        <f t="shared" si="5"/>
        <v>5.800838440463103</v>
      </c>
      <c r="L28" s="107">
        <f t="shared" si="6"/>
        <v>13.132923681780614</v>
      </c>
      <c r="M28" s="575">
        <v>12073</v>
      </c>
      <c r="N28" s="569">
        <f t="shared" si="7"/>
        <v>5.292339038140335</v>
      </c>
      <c r="O28" s="136"/>
      <c r="P28" s="571">
        <v>0</v>
      </c>
      <c r="Q28" s="565">
        <v>315</v>
      </c>
      <c r="R28" s="571">
        <f t="shared" si="2"/>
        <v>0.13808388942385533</v>
      </c>
      <c r="S28" s="136"/>
      <c r="T28" s="571">
        <v>0</v>
      </c>
      <c r="U28" s="136"/>
      <c r="V28" s="571">
        <v>0</v>
      </c>
      <c r="W28" s="565"/>
      <c r="X28" s="571">
        <v>0</v>
      </c>
      <c r="Y28" s="565">
        <v>442</v>
      </c>
      <c r="Z28" s="571">
        <f t="shared" si="3"/>
        <v>0.193755806747124</v>
      </c>
      <c r="AA28" s="173">
        <v>481</v>
      </c>
      <c r="AB28" s="571">
        <f t="shared" si="3"/>
        <v>0.21085190734245848</v>
      </c>
      <c r="AC28" s="187"/>
      <c r="AD28" s="571">
        <v>0</v>
      </c>
      <c r="AE28" s="576">
        <f t="shared" si="4"/>
        <v>13311</v>
      </c>
    </row>
    <row r="29" spans="1:31" ht="9.75" customHeight="1">
      <c r="A29" s="267"/>
      <c r="B29" s="564" t="s">
        <v>403</v>
      </c>
      <c r="C29" s="568">
        <v>27</v>
      </c>
      <c r="D29" s="568">
        <v>68</v>
      </c>
      <c r="E29" s="51">
        <v>0.0018</v>
      </c>
      <c r="F29" s="54">
        <f t="shared" si="0"/>
        <v>13.132923681780614</v>
      </c>
      <c r="G29" s="102">
        <v>0</v>
      </c>
      <c r="H29" s="568">
        <v>1995</v>
      </c>
      <c r="I29" s="576">
        <v>13233</v>
      </c>
      <c r="J29" s="50">
        <f t="shared" si="1"/>
        <v>2.8330079804994868</v>
      </c>
      <c r="K29" s="54">
        <f t="shared" si="5"/>
        <v>5.800838440463103</v>
      </c>
      <c r="L29" s="107">
        <f t="shared" si="6"/>
        <v>13.132923681780614</v>
      </c>
      <c r="M29" s="575">
        <v>12073</v>
      </c>
      <c r="N29" s="569">
        <f t="shared" si="7"/>
        <v>5.292339038140335</v>
      </c>
      <c r="O29" s="136"/>
      <c r="P29" s="571">
        <v>0</v>
      </c>
      <c r="Q29" s="565">
        <v>315</v>
      </c>
      <c r="R29" s="571">
        <f t="shared" si="2"/>
        <v>0.13808388942385533</v>
      </c>
      <c r="S29" s="565"/>
      <c r="T29" s="571">
        <v>0</v>
      </c>
      <c r="U29" s="136"/>
      <c r="V29" s="571">
        <v>0</v>
      </c>
      <c r="W29" s="136"/>
      <c r="X29" s="571">
        <v>0</v>
      </c>
      <c r="Y29" s="565">
        <v>442</v>
      </c>
      <c r="Z29" s="571">
        <f t="shared" si="3"/>
        <v>0.193755806747124</v>
      </c>
      <c r="AA29" s="173">
        <v>481</v>
      </c>
      <c r="AB29" s="571">
        <f t="shared" si="3"/>
        <v>0.21085190734245848</v>
      </c>
      <c r="AC29" s="187"/>
      <c r="AD29" s="571">
        <v>0</v>
      </c>
      <c r="AE29" s="576">
        <f t="shared" si="4"/>
        <v>13311</v>
      </c>
    </row>
    <row r="30" spans="1:31" ht="9.75" customHeight="1">
      <c r="A30" s="267"/>
      <c r="B30" s="267"/>
      <c r="C30" s="568">
        <v>27</v>
      </c>
      <c r="D30" s="568">
        <v>36</v>
      </c>
      <c r="E30" s="51">
        <v>0.0018</v>
      </c>
      <c r="F30" s="54">
        <f t="shared" si="0"/>
        <v>13.132923681780614</v>
      </c>
      <c r="G30" s="102" t="s">
        <v>220</v>
      </c>
      <c r="H30" s="568">
        <v>1995</v>
      </c>
      <c r="I30" s="576">
        <v>13233</v>
      </c>
      <c r="J30" s="50">
        <f t="shared" si="1"/>
        <v>2.8330079804994868</v>
      </c>
      <c r="K30" s="54">
        <f t="shared" si="5"/>
        <v>5.800838440463103</v>
      </c>
      <c r="L30" s="107">
        <f t="shared" si="6"/>
        <v>13.132923681780614</v>
      </c>
      <c r="M30" s="575">
        <v>12073</v>
      </c>
      <c r="N30" s="569">
        <f t="shared" si="7"/>
        <v>5.292339038140335</v>
      </c>
      <c r="O30" s="136"/>
      <c r="P30" s="571">
        <v>0</v>
      </c>
      <c r="Q30" s="565">
        <v>315</v>
      </c>
      <c r="R30" s="571">
        <f t="shared" si="2"/>
        <v>0.13808388942385533</v>
      </c>
      <c r="S30" s="136"/>
      <c r="T30" s="571">
        <v>0</v>
      </c>
      <c r="U30" s="565"/>
      <c r="V30" s="571">
        <v>0</v>
      </c>
      <c r="W30" s="136"/>
      <c r="X30" s="571">
        <v>0</v>
      </c>
      <c r="Y30" s="565">
        <v>442</v>
      </c>
      <c r="Z30" s="571">
        <f t="shared" si="3"/>
        <v>0.193755806747124</v>
      </c>
      <c r="AA30" s="173">
        <v>481</v>
      </c>
      <c r="AB30" s="571">
        <f t="shared" si="3"/>
        <v>0.21085190734245848</v>
      </c>
      <c r="AC30" s="187"/>
      <c r="AD30" s="571">
        <v>0</v>
      </c>
      <c r="AE30" s="576">
        <f t="shared" si="4"/>
        <v>13311</v>
      </c>
    </row>
    <row r="31" spans="1:31" ht="9.75" customHeight="1">
      <c r="A31" s="564" t="s">
        <v>233</v>
      </c>
      <c r="B31" s="564" t="s">
        <v>391</v>
      </c>
      <c r="C31" s="568">
        <v>27</v>
      </c>
      <c r="D31" s="568">
        <v>234</v>
      </c>
      <c r="E31" s="51">
        <v>0.0018</v>
      </c>
      <c r="F31" s="54">
        <f t="shared" si="0"/>
        <v>13.132923681780614</v>
      </c>
      <c r="G31" s="102">
        <v>0</v>
      </c>
      <c r="H31" s="568">
        <v>1926</v>
      </c>
      <c r="I31" s="576">
        <v>13496</v>
      </c>
      <c r="J31" s="50">
        <f t="shared" si="1"/>
        <v>2.8244155754327847</v>
      </c>
      <c r="K31" s="54">
        <f t="shared" si="5"/>
        <v>5.898184140120702</v>
      </c>
      <c r="L31" s="107">
        <f t="shared" si="6"/>
        <v>13.132923681780614</v>
      </c>
      <c r="M31" s="575">
        <v>12336</v>
      </c>
      <c r="N31" s="569">
        <f t="shared" si="7"/>
        <v>5.3912269970753535</v>
      </c>
      <c r="O31" s="136"/>
      <c r="P31" s="571">
        <v>0</v>
      </c>
      <c r="Q31" s="565">
        <v>315</v>
      </c>
      <c r="R31" s="571">
        <f t="shared" si="2"/>
        <v>0.13766508625800394</v>
      </c>
      <c r="S31" s="565"/>
      <c r="T31" s="571">
        <v>0</v>
      </c>
      <c r="U31" s="136"/>
      <c r="V31" s="571">
        <v>0</v>
      </c>
      <c r="W31" s="136"/>
      <c r="X31" s="571">
        <v>0</v>
      </c>
      <c r="Y31" s="565">
        <v>442</v>
      </c>
      <c r="Z31" s="571">
        <f t="shared" si="3"/>
        <v>0.1931681527810722</v>
      </c>
      <c r="AA31" s="173">
        <v>481</v>
      </c>
      <c r="AB31" s="571">
        <f t="shared" si="3"/>
        <v>0.21021240155587267</v>
      </c>
      <c r="AC31" s="173"/>
      <c r="AD31" s="571">
        <v>0</v>
      </c>
      <c r="AE31" s="576">
        <f t="shared" si="4"/>
        <v>13574</v>
      </c>
    </row>
    <row r="32" spans="1:31" ht="9.75" customHeight="1">
      <c r="A32" s="267"/>
      <c r="B32" s="267"/>
      <c r="C32" s="568">
        <v>27</v>
      </c>
      <c r="D32" s="568">
        <v>234</v>
      </c>
      <c r="E32" s="51">
        <v>0.0011</v>
      </c>
      <c r="F32" s="54">
        <f t="shared" si="0"/>
        <v>10.266478701597023</v>
      </c>
      <c r="G32" s="102">
        <v>0</v>
      </c>
      <c r="H32" s="568">
        <v>1926</v>
      </c>
      <c r="I32" s="576">
        <v>13496</v>
      </c>
      <c r="J32" s="50">
        <f t="shared" si="1"/>
        <v>2.8244155754327847</v>
      </c>
      <c r="K32" s="54">
        <f t="shared" si="5"/>
        <v>5.898184140120702</v>
      </c>
      <c r="L32" s="107">
        <f t="shared" si="6"/>
        <v>10.266478701597023</v>
      </c>
      <c r="M32" s="575">
        <v>12336</v>
      </c>
      <c r="N32" s="569">
        <f t="shared" si="7"/>
        <v>5.3912269970753535</v>
      </c>
      <c r="O32" s="136"/>
      <c r="P32" s="571">
        <v>0</v>
      </c>
      <c r="Q32" s="565">
        <v>315</v>
      </c>
      <c r="R32" s="571">
        <f t="shared" si="2"/>
        <v>0.13766508625800394</v>
      </c>
      <c r="S32" s="136"/>
      <c r="T32" s="571">
        <v>0</v>
      </c>
      <c r="U32" s="136"/>
      <c r="V32" s="571">
        <v>0</v>
      </c>
      <c r="W32" s="136"/>
      <c r="X32" s="571">
        <v>0</v>
      </c>
      <c r="Y32" s="565">
        <v>442</v>
      </c>
      <c r="Z32" s="571">
        <f t="shared" si="3"/>
        <v>0.1931681527810722</v>
      </c>
      <c r="AA32" s="173">
        <v>481</v>
      </c>
      <c r="AB32" s="571">
        <f t="shared" si="3"/>
        <v>0.21021240155587267</v>
      </c>
      <c r="AC32" s="173"/>
      <c r="AD32" s="571">
        <v>0</v>
      </c>
      <c r="AE32" s="576">
        <f t="shared" si="4"/>
        <v>13574</v>
      </c>
    </row>
    <row r="33" spans="1:31" ht="9.75" customHeight="1">
      <c r="A33" s="267"/>
      <c r="B33" s="564" t="s">
        <v>404</v>
      </c>
      <c r="C33" s="568">
        <v>27</v>
      </c>
      <c r="D33" s="568">
        <v>317</v>
      </c>
      <c r="E33" s="51">
        <v>0.0011</v>
      </c>
      <c r="F33" s="54">
        <f t="shared" si="0"/>
        <v>10.266478701597023</v>
      </c>
      <c r="G33" s="102">
        <v>0</v>
      </c>
      <c r="H33" s="568">
        <v>1926</v>
      </c>
      <c r="I33" s="576">
        <v>13496</v>
      </c>
      <c r="J33" s="50">
        <f t="shared" si="1"/>
        <v>2.8244155754327847</v>
      </c>
      <c r="K33" s="54">
        <f t="shared" si="5"/>
        <v>5.898184140120702</v>
      </c>
      <c r="L33" s="107">
        <f t="shared" si="6"/>
        <v>10.266478701597023</v>
      </c>
      <c r="M33" s="575">
        <v>12336</v>
      </c>
      <c r="N33" s="569">
        <f t="shared" si="7"/>
        <v>5.3912269970753535</v>
      </c>
      <c r="O33" s="136"/>
      <c r="P33" s="571">
        <v>0</v>
      </c>
      <c r="Q33" s="565">
        <v>315</v>
      </c>
      <c r="R33" s="571">
        <f t="shared" si="2"/>
        <v>0.13766508625800394</v>
      </c>
      <c r="S33" s="136"/>
      <c r="T33" s="571">
        <v>0</v>
      </c>
      <c r="U33" s="136"/>
      <c r="V33" s="571">
        <v>0</v>
      </c>
      <c r="W33" s="136"/>
      <c r="X33" s="571">
        <v>0</v>
      </c>
      <c r="Y33" s="565">
        <v>442</v>
      </c>
      <c r="Z33" s="571">
        <f t="shared" si="3"/>
        <v>0.1931681527810722</v>
      </c>
      <c r="AA33" s="173">
        <v>481</v>
      </c>
      <c r="AB33" s="571">
        <f t="shared" si="3"/>
        <v>0.21021240155587267</v>
      </c>
      <c r="AC33" s="173"/>
      <c r="AD33" s="571">
        <v>0</v>
      </c>
      <c r="AE33" s="576">
        <f t="shared" si="4"/>
        <v>13574</v>
      </c>
    </row>
    <row r="34" spans="1:31" ht="9.75" customHeight="1">
      <c r="A34" s="267"/>
      <c r="B34" s="267"/>
      <c r="C34" s="568">
        <v>27</v>
      </c>
      <c r="D34" s="568">
        <v>314</v>
      </c>
      <c r="E34" s="51">
        <v>0.0011</v>
      </c>
      <c r="F34" s="54">
        <f t="shared" si="0"/>
        <v>10.266478701597023</v>
      </c>
      <c r="G34" s="102">
        <v>0</v>
      </c>
      <c r="H34" s="568">
        <v>1926</v>
      </c>
      <c r="I34" s="576">
        <v>13496</v>
      </c>
      <c r="J34" s="50">
        <f t="shared" si="1"/>
        <v>2.8244155754327847</v>
      </c>
      <c r="K34" s="54">
        <f t="shared" si="5"/>
        <v>5.898184140120702</v>
      </c>
      <c r="L34" s="107">
        <f t="shared" si="6"/>
        <v>10.266478701597023</v>
      </c>
      <c r="M34" s="575">
        <v>12336</v>
      </c>
      <c r="N34" s="569">
        <f t="shared" si="7"/>
        <v>5.3912269970753535</v>
      </c>
      <c r="O34" s="136"/>
      <c r="P34" s="571">
        <v>0</v>
      </c>
      <c r="Q34" s="565">
        <v>315</v>
      </c>
      <c r="R34" s="571">
        <f t="shared" si="2"/>
        <v>0.13766508625800394</v>
      </c>
      <c r="S34" s="136"/>
      <c r="T34" s="571">
        <v>0</v>
      </c>
      <c r="U34" s="136"/>
      <c r="V34" s="571">
        <v>0</v>
      </c>
      <c r="W34" s="136"/>
      <c r="X34" s="571">
        <v>0</v>
      </c>
      <c r="Y34" s="565">
        <v>442</v>
      </c>
      <c r="Z34" s="571">
        <f t="shared" si="3"/>
        <v>0.1931681527810722</v>
      </c>
      <c r="AA34" s="173">
        <v>481</v>
      </c>
      <c r="AB34" s="571">
        <f t="shared" si="3"/>
        <v>0.21021240155587267</v>
      </c>
      <c r="AC34" s="173"/>
      <c r="AD34" s="571">
        <v>0</v>
      </c>
      <c r="AE34" s="576">
        <f t="shared" si="4"/>
        <v>13574</v>
      </c>
    </row>
    <row r="35" spans="1:31" ht="9.75" customHeight="1">
      <c r="A35" s="267"/>
      <c r="B35" s="564" t="s">
        <v>405</v>
      </c>
      <c r="C35" s="568">
        <v>27</v>
      </c>
      <c r="D35" s="568">
        <v>49</v>
      </c>
      <c r="E35" s="51">
        <v>0.0011</v>
      </c>
      <c r="F35" s="54">
        <f t="shared" si="0"/>
        <v>10.266478701597023</v>
      </c>
      <c r="G35" s="102">
        <v>0</v>
      </c>
      <c r="H35" s="568">
        <v>1926</v>
      </c>
      <c r="I35" s="576">
        <v>16366</v>
      </c>
      <c r="J35" s="50">
        <f t="shared" si="1"/>
        <v>2.7401050411354313</v>
      </c>
      <c r="K35" s="54">
        <f t="shared" si="5"/>
        <v>6.93896054652259</v>
      </c>
      <c r="L35" s="107">
        <f t="shared" si="6"/>
        <v>10.266478701597023</v>
      </c>
      <c r="M35" s="575">
        <v>15206</v>
      </c>
      <c r="N35" s="569">
        <f t="shared" si="7"/>
        <v>6.447136384603598</v>
      </c>
      <c r="O35" s="136"/>
      <c r="P35" s="571">
        <v>0</v>
      </c>
      <c r="Q35" s="565">
        <v>315</v>
      </c>
      <c r="R35" s="571">
        <f t="shared" si="2"/>
        <v>0.1335556991417949</v>
      </c>
      <c r="S35" s="136"/>
      <c r="T35" s="571">
        <v>0</v>
      </c>
      <c r="U35" s="136"/>
      <c r="V35" s="571">
        <v>0</v>
      </c>
      <c r="W35" s="565"/>
      <c r="X35" s="571">
        <v>0</v>
      </c>
      <c r="Y35" s="565">
        <v>442</v>
      </c>
      <c r="Z35" s="571">
        <f t="shared" si="3"/>
        <v>0.18740196514499477</v>
      </c>
      <c r="AA35" s="173">
        <v>481</v>
      </c>
      <c r="AB35" s="571">
        <f t="shared" si="3"/>
        <v>0.2039374326577884</v>
      </c>
      <c r="AC35" s="173"/>
      <c r="AD35" s="571">
        <v>0</v>
      </c>
      <c r="AE35" s="576">
        <f t="shared" si="4"/>
        <v>16444</v>
      </c>
    </row>
    <row r="36" spans="1:31" ht="9.75" customHeight="1">
      <c r="A36" s="267"/>
      <c r="B36" s="267"/>
      <c r="C36" s="563">
        <v>27</v>
      </c>
      <c r="D36" s="568">
        <v>358</v>
      </c>
      <c r="E36" s="51">
        <v>0.0011</v>
      </c>
      <c r="F36" s="54">
        <f t="shared" si="0"/>
        <v>10.266478701597023</v>
      </c>
      <c r="G36" s="102">
        <v>0</v>
      </c>
      <c r="H36" s="568">
        <v>1926</v>
      </c>
      <c r="I36" s="576">
        <v>16366</v>
      </c>
      <c r="J36" s="50">
        <f t="shared" si="1"/>
        <v>2.7401050411354313</v>
      </c>
      <c r="K36" s="54">
        <f t="shared" si="5"/>
        <v>6.93896054652259</v>
      </c>
      <c r="L36" s="107">
        <f t="shared" si="6"/>
        <v>10.266478701597023</v>
      </c>
      <c r="M36" s="575">
        <v>15206</v>
      </c>
      <c r="N36" s="569">
        <f t="shared" si="7"/>
        <v>6.447136384603598</v>
      </c>
      <c r="O36" s="136"/>
      <c r="P36" s="571">
        <v>0</v>
      </c>
      <c r="Q36" s="565">
        <v>315</v>
      </c>
      <c r="R36" s="571">
        <f t="shared" si="2"/>
        <v>0.1335556991417949</v>
      </c>
      <c r="S36" s="136"/>
      <c r="T36" s="571">
        <v>0</v>
      </c>
      <c r="U36" s="136"/>
      <c r="V36" s="571">
        <v>0</v>
      </c>
      <c r="W36" s="565"/>
      <c r="X36" s="571">
        <v>0</v>
      </c>
      <c r="Y36" s="565">
        <v>442</v>
      </c>
      <c r="Z36" s="571">
        <f t="shared" si="3"/>
        <v>0.18740196514499477</v>
      </c>
      <c r="AA36" s="173">
        <v>481</v>
      </c>
      <c r="AB36" s="571">
        <f t="shared" si="3"/>
        <v>0.2039374326577884</v>
      </c>
      <c r="AC36" s="173"/>
      <c r="AD36" s="571">
        <v>0</v>
      </c>
      <c r="AE36" s="576">
        <f t="shared" si="4"/>
        <v>16444</v>
      </c>
    </row>
    <row r="37" spans="1:31" ht="9.75" customHeight="1">
      <c r="A37" s="267"/>
      <c r="B37" s="564" t="s">
        <v>406</v>
      </c>
      <c r="C37" s="568">
        <v>27</v>
      </c>
      <c r="D37" s="568">
        <v>284</v>
      </c>
      <c r="E37" s="51">
        <v>0.0009</v>
      </c>
      <c r="F37" s="54">
        <f t="shared" si="0"/>
        <v>9.286379392192472</v>
      </c>
      <c r="G37" s="102">
        <v>0</v>
      </c>
      <c r="H37" s="568">
        <v>1926</v>
      </c>
      <c r="I37" s="576">
        <v>16907</v>
      </c>
      <c r="J37" s="50">
        <f t="shared" si="1"/>
        <v>2.7258782087375413</v>
      </c>
      <c r="K37" s="54">
        <f t="shared" si="5"/>
        <v>7.131118611842322</v>
      </c>
      <c r="L37" s="107">
        <f t="shared" si="6"/>
        <v>9.286379392192472</v>
      </c>
      <c r="M37" s="575">
        <v>15747</v>
      </c>
      <c r="N37" s="569">
        <f t="shared" si="7"/>
        <v>6.641848038131014</v>
      </c>
      <c r="O37" s="565"/>
      <c r="P37" s="571">
        <v>0</v>
      </c>
      <c r="Q37" s="565">
        <v>315</v>
      </c>
      <c r="R37" s="571">
        <f t="shared" si="2"/>
        <v>0.1328622678612605</v>
      </c>
      <c r="S37" s="136"/>
      <c r="T37" s="571">
        <v>0</v>
      </c>
      <c r="U37" s="565"/>
      <c r="V37" s="571">
        <v>0</v>
      </c>
      <c r="W37" s="136"/>
      <c r="X37" s="571">
        <v>0</v>
      </c>
      <c r="Y37" s="565">
        <v>442</v>
      </c>
      <c r="Z37" s="571">
        <f t="shared" si="3"/>
        <v>0.18642895998310205</v>
      </c>
      <c r="AA37" s="173">
        <v>481</v>
      </c>
      <c r="AB37" s="571">
        <f t="shared" si="3"/>
        <v>0.2028785740992581</v>
      </c>
      <c r="AC37" s="173"/>
      <c r="AD37" s="571">
        <v>0</v>
      </c>
      <c r="AE37" s="576">
        <f t="shared" si="4"/>
        <v>16985</v>
      </c>
    </row>
    <row r="38" spans="1:31" ht="9.75" customHeight="1">
      <c r="A38" s="267"/>
      <c r="B38" s="564" t="s">
        <v>407</v>
      </c>
      <c r="C38" s="568">
        <v>27</v>
      </c>
      <c r="D38" s="568">
        <v>402</v>
      </c>
      <c r="E38" s="51">
        <v>0.0009</v>
      </c>
      <c r="F38" s="54">
        <f t="shared" si="0"/>
        <v>9.286379392192472</v>
      </c>
      <c r="G38" s="102">
        <v>0</v>
      </c>
      <c r="H38" s="568">
        <v>1926</v>
      </c>
      <c r="I38" s="576">
        <f>I$40</f>
        <v>19373</v>
      </c>
      <c r="J38" s="50">
        <f t="shared" si="1"/>
        <v>2.6663736577085286</v>
      </c>
      <c r="K38" s="54">
        <f t="shared" si="5"/>
        <v>7.992866296356228</v>
      </c>
      <c r="L38" s="107">
        <f t="shared" si="6"/>
        <v>9.286379392192472</v>
      </c>
      <c r="M38" s="575">
        <f>M$40</f>
        <v>18213</v>
      </c>
      <c r="N38" s="569">
        <f t="shared" si="7"/>
        <v>7.514276253318328</v>
      </c>
      <c r="O38" s="565"/>
      <c r="P38" s="571">
        <v>0</v>
      </c>
      <c r="Q38" s="565">
        <f>Q$40</f>
        <v>315</v>
      </c>
      <c r="R38" s="571">
        <f t="shared" si="2"/>
        <v>0.1299619513421882</v>
      </c>
      <c r="S38" s="565"/>
      <c r="T38" s="571">
        <v>0</v>
      </c>
      <c r="U38" s="565"/>
      <c r="V38" s="571">
        <v>0</v>
      </c>
      <c r="W38" s="565"/>
      <c r="X38" s="571">
        <v>0</v>
      </c>
      <c r="Y38" s="565">
        <v>442</v>
      </c>
      <c r="Z38" s="571">
        <f t="shared" si="3"/>
        <v>0.182359309502372</v>
      </c>
      <c r="AA38" s="173">
        <v>481</v>
      </c>
      <c r="AB38" s="571">
        <f t="shared" si="3"/>
        <v>0.19844983681140482</v>
      </c>
      <c r="AC38" s="173"/>
      <c r="AD38" s="571">
        <v>0</v>
      </c>
      <c r="AE38" s="576">
        <f t="shared" si="4"/>
        <v>19451</v>
      </c>
    </row>
    <row r="39" spans="1:31" ht="9.75" customHeight="1">
      <c r="A39" s="267"/>
      <c r="B39" s="564" t="s">
        <v>395</v>
      </c>
      <c r="C39" s="568">
        <v>27</v>
      </c>
      <c r="D39" s="568">
        <v>465</v>
      </c>
      <c r="E39" s="51">
        <v>0.0009</v>
      </c>
      <c r="F39" s="54">
        <f t="shared" si="0"/>
        <v>9.286379392192472</v>
      </c>
      <c r="G39" s="102">
        <v>0</v>
      </c>
      <c r="H39" s="568">
        <v>1926</v>
      </c>
      <c r="I39" s="576">
        <f>I$40</f>
        <v>19373</v>
      </c>
      <c r="J39" s="50">
        <f t="shared" si="1"/>
        <v>2.6663736577085286</v>
      </c>
      <c r="K39" s="54">
        <f t="shared" si="5"/>
        <v>7.992866296356228</v>
      </c>
      <c r="L39" s="107">
        <f t="shared" si="6"/>
        <v>9.286379392192472</v>
      </c>
      <c r="M39" s="575">
        <f>M$40</f>
        <v>18213</v>
      </c>
      <c r="N39" s="569">
        <f t="shared" si="7"/>
        <v>7.514276253318328</v>
      </c>
      <c r="O39" s="565"/>
      <c r="P39" s="571">
        <v>0</v>
      </c>
      <c r="Q39" s="565">
        <f>Q$40</f>
        <v>315</v>
      </c>
      <c r="R39" s="571">
        <f t="shared" si="2"/>
        <v>0.1299619513421882</v>
      </c>
      <c r="S39" s="565"/>
      <c r="T39" s="571">
        <v>0</v>
      </c>
      <c r="U39" s="565"/>
      <c r="V39" s="571">
        <v>0</v>
      </c>
      <c r="W39" s="136"/>
      <c r="X39" s="571">
        <v>0</v>
      </c>
      <c r="Y39" s="565">
        <v>442</v>
      </c>
      <c r="Z39" s="571">
        <f t="shared" si="3"/>
        <v>0.182359309502372</v>
      </c>
      <c r="AA39" s="173">
        <v>481</v>
      </c>
      <c r="AB39" s="571">
        <f t="shared" si="3"/>
        <v>0.19844983681140482</v>
      </c>
      <c r="AC39" s="173"/>
      <c r="AD39" s="571">
        <v>0</v>
      </c>
      <c r="AE39" s="576">
        <f t="shared" si="4"/>
        <v>19451</v>
      </c>
    </row>
    <row r="40" spans="1:31" ht="9.75" customHeight="1">
      <c r="A40" s="267"/>
      <c r="B40" s="564" t="s">
        <v>408</v>
      </c>
      <c r="C40" s="568">
        <v>27</v>
      </c>
      <c r="D40" s="568">
        <v>237</v>
      </c>
      <c r="E40" s="51">
        <v>0.0009</v>
      </c>
      <c r="F40" s="54">
        <f t="shared" si="0"/>
        <v>9.286379392192472</v>
      </c>
      <c r="G40" s="102">
        <v>0</v>
      </c>
      <c r="H40" s="568" t="s">
        <v>396</v>
      </c>
      <c r="I40" s="576">
        <v>19373</v>
      </c>
      <c r="J40" s="50">
        <f t="shared" si="1"/>
        <v>2.6663736577085286</v>
      </c>
      <c r="K40" s="54">
        <f t="shared" si="5"/>
        <v>7.992866296356228</v>
      </c>
      <c r="L40" s="107">
        <f t="shared" si="6"/>
        <v>9.286379392192472</v>
      </c>
      <c r="M40" s="575">
        <v>18213</v>
      </c>
      <c r="N40" s="569">
        <f t="shared" si="7"/>
        <v>7.514276253318328</v>
      </c>
      <c r="O40" s="136"/>
      <c r="P40" s="571">
        <v>0</v>
      </c>
      <c r="Q40" s="565">
        <v>315</v>
      </c>
      <c r="R40" s="571">
        <f t="shared" si="2"/>
        <v>0.1299619513421882</v>
      </c>
      <c r="S40" s="136"/>
      <c r="T40" s="571">
        <v>0</v>
      </c>
      <c r="U40" s="136"/>
      <c r="V40" s="571">
        <v>0</v>
      </c>
      <c r="W40" s="136"/>
      <c r="X40" s="571">
        <v>0</v>
      </c>
      <c r="Y40" s="565">
        <v>442</v>
      </c>
      <c r="Z40" s="571">
        <f t="shared" si="3"/>
        <v>0.182359309502372</v>
      </c>
      <c r="AA40" s="173">
        <v>481</v>
      </c>
      <c r="AB40" s="571">
        <f t="shared" si="3"/>
        <v>0.19844983681140482</v>
      </c>
      <c r="AC40" s="173"/>
      <c r="AD40" s="571">
        <v>0</v>
      </c>
      <c r="AE40" s="576">
        <f t="shared" si="4"/>
        <v>19451</v>
      </c>
    </row>
    <row r="41" spans="1:31" ht="9.75" customHeight="1">
      <c r="A41" s="267"/>
      <c r="B41" s="267"/>
      <c r="C41" s="568">
        <v>27</v>
      </c>
      <c r="D41" s="568">
        <v>143</v>
      </c>
      <c r="E41" s="51">
        <v>0.0009</v>
      </c>
      <c r="F41" s="54">
        <f t="shared" si="0"/>
        <v>9.286379392192472</v>
      </c>
      <c r="G41" s="102">
        <v>0</v>
      </c>
      <c r="H41" s="568">
        <v>1926</v>
      </c>
      <c r="I41" s="576">
        <v>19373</v>
      </c>
      <c r="J41" s="50">
        <f t="shared" si="1"/>
        <v>2.6663736577085286</v>
      </c>
      <c r="K41" s="54">
        <f t="shared" si="5"/>
        <v>7.992866296356228</v>
      </c>
      <c r="L41" s="107">
        <f t="shared" si="6"/>
        <v>9.286379392192472</v>
      </c>
      <c r="M41" s="575">
        <v>18213</v>
      </c>
      <c r="N41" s="569">
        <f t="shared" si="7"/>
        <v>7.514276253318328</v>
      </c>
      <c r="O41" s="565"/>
      <c r="P41" s="571">
        <v>0</v>
      </c>
      <c r="Q41" s="565">
        <v>315</v>
      </c>
      <c r="R41" s="571">
        <f t="shared" si="2"/>
        <v>0.1299619513421882</v>
      </c>
      <c r="S41" s="136"/>
      <c r="T41" s="571">
        <v>0</v>
      </c>
      <c r="U41" s="136"/>
      <c r="V41" s="571">
        <v>0</v>
      </c>
      <c r="W41" s="136"/>
      <c r="X41" s="571">
        <v>0</v>
      </c>
      <c r="Y41" s="565">
        <v>442</v>
      </c>
      <c r="Z41" s="571">
        <f t="shared" si="3"/>
        <v>0.182359309502372</v>
      </c>
      <c r="AA41" s="173">
        <v>481</v>
      </c>
      <c r="AB41" s="571">
        <f t="shared" si="3"/>
        <v>0.19844983681140482</v>
      </c>
      <c r="AC41" s="173"/>
      <c r="AD41" s="571">
        <v>0</v>
      </c>
      <c r="AE41" s="576">
        <f t="shared" si="4"/>
        <v>19451</v>
      </c>
    </row>
    <row r="42" spans="1:31" ht="9.75" customHeight="1">
      <c r="A42" s="564" t="s">
        <v>397</v>
      </c>
      <c r="B42" s="564" t="s">
        <v>233</v>
      </c>
      <c r="C42" s="568">
        <v>30</v>
      </c>
      <c r="D42" s="568">
        <v>261</v>
      </c>
      <c r="E42" s="51">
        <v>0.0012</v>
      </c>
      <c r="F42" s="54">
        <f t="shared" si="0"/>
        <v>14.20155060868329</v>
      </c>
      <c r="G42" s="102">
        <v>0</v>
      </c>
      <c r="H42" s="568">
        <v>1926</v>
      </c>
      <c r="I42" s="576">
        <v>19373</v>
      </c>
      <c r="J42" s="50">
        <f t="shared" si="1"/>
        <v>2.6663736577085286</v>
      </c>
      <c r="K42" s="54">
        <f t="shared" si="5"/>
        <v>7.992866296356228</v>
      </c>
      <c r="L42" s="107">
        <f t="shared" si="6"/>
        <v>14.20155060868329</v>
      </c>
      <c r="M42" s="575">
        <v>18213</v>
      </c>
      <c r="N42" s="569">
        <f t="shared" si="7"/>
        <v>7.514276253318328</v>
      </c>
      <c r="O42" s="136"/>
      <c r="P42" s="571">
        <v>0</v>
      </c>
      <c r="Q42" s="565">
        <v>316</v>
      </c>
      <c r="R42" s="571">
        <f t="shared" si="2"/>
        <v>0.13037452896549673</v>
      </c>
      <c r="S42" s="136"/>
      <c r="T42" s="571">
        <v>0</v>
      </c>
      <c r="U42" s="136"/>
      <c r="V42" s="571">
        <v>0</v>
      </c>
      <c r="W42" s="136"/>
      <c r="X42" s="571">
        <v>0</v>
      </c>
      <c r="Y42" s="565">
        <v>442</v>
      </c>
      <c r="Z42" s="571">
        <f t="shared" si="3"/>
        <v>0.182359309502372</v>
      </c>
      <c r="AA42" s="173">
        <v>481</v>
      </c>
      <c r="AB42" s="571">
        <f t="shared" si="3"/>
        <v>0.19844983681140482</v>
      </c>
      <c r="AC42" s="173"/>
      <c r="AD42" s="571">
        <v>0</v>
      </c>
      <c r="AE42" s="576">
        <f t="shared" si="4"/>
        <v>19452</v>
      </c>
    </row>
    <row r="43" spans="1:31" ht="9.75" customHeight="1">
      <c r="A43" s="669" t="s">
        <v>398</v>
      </c>
      <c r="B43" s="669"/>
      <c r="C43" s="568">
        <v>30</v>
      </c>
      <c r="D43" s="568" t="s">
        <v>399</v>
      </c>
      <c r="E43" s="51">
        <v>0.0012</v>
      </c>
      <c r="F43" s="54">
        <f t="shared" si="0"/>
        <v>14.20155060868329</v>
      </c>
      <c r="G43" s="102">
        <v>0</v>
      </c>
      <c r="H43" s="568">
        <v>1926</v>
      </c>
      <c r="I43" s="576">
        <v>19373</v>
      </c>
      <c r="J43" s="50">
        <f t="shared" si="1"/>
        <v>2.6663736577085286</v>
      </c>
      <c r="K43" s="54">
        <f t="shared" si="5"/>
        <v>7.992866296356228</v>
      </c>
      <c r="L43" s="107">
        <f t="shared" si="6"/>
        <v>14.20155060868329</v>
      </c>
      <c r="M43" s="575">
        <f>M$46</f>
        <v>21188</v>
      </c>
      <c r="N43" s="569">
        <f t="shared" si="7"/>
        <v>8.741694682661217</v>
      </c>
      <c r="O43" s="136"/>
      <c r="P43" s="571">
        <v>0</v>
      </c>
      <c r="Q43" s="565">
        <f>Q$46</f>
        <v>315</v>
      </c>
      <c r="R43" s="571">
        <f t="shared" si="2"/>
        <v>0.1299619513421882</v>
      </c>
      <c r="S43" s="136"/>
      <c r="T43" s="571">
        <v>0</v>
      </c>
      <c r="U43" s="136"/>
      <c r="V43" s="571">
        <v>0</v>
      </c>
      <c r="W43" s="136"/>
      <c r="X43" s="571">
        <v>0</v>
      </c>
      <c r="Y43" s="565">
        <v>442</v>
      </c>
      <c r="Z43" s="571">
        <f t="shared" si="3"/>
        <v>0.182359309502372</v>
      </c>
      <c r="AA43" s="173">
        <v>481</v>
      </c>
      <c r="AB43" s="571">
        <f t="shared" si="3"/>
        <v>0.19844983681140482</v>
      </c>
      <c r="AC43" s="173"/>
      <c r="AD43" s="571">
        <v>0</v>
      </c>
      <c r="AE43" s="576">
        <f t="shared" si="4"/>
        <v>22426</v>
      </c>
    </row>
    <row r="44" spans="1:31" ht="9.75" customHeight="1">
      <c r="A44" s="267"/>
      <c r="B44" s="267"/>
      <c r="C44" s="568">
        <v>30</v>
      </c>
      <c r="D44" s="568">
        <v>48</v>
      </c>
      <c r="E44" s="51">
        <v>0.0012</v>
      </c>
      <c r="F44" s="54">
        <f t="shared" si="0"/>
        <v>14.20155060868329</v>
      </c>
      <c r="G44" s="102">
        <v>0</v>
      </c>
      <c r="H44" s="568">
        <v>1926</v>
      </c>
      <c r="I44" s="576">
        <v>19373</v>
      </c>
      <c r="J44" s="50">
        <f t="shared" si="1"/>
        <v>2.6663736577085286</v>
      </c>
      <c r="K44" s="54">
        <f t="shared" si="5"/>
        <v>7.992866296356228</v>
      </c>
      <c r="L44" s="107">
        <f t="shared" si="6"/>
        <v>14.20155060868329</v>
      </c>
      <c r="M44" s="575">
        <f>M$46</f>
        <v>21188</v>
      </c>
      <c r="N44" s="569">
        <f t="shared" si="7"/>
        <v>8.741694682661217</v>
      </c>
      <c r="O44" s="136"/>
      <c r="P44" s="571">
        <v>0</v>
      </c>
      <c r="Q44" s="565">
        <f>Q$46</f>
        <v>315</v>
      </c>
      <c r="R44" s="571">
        <f t="shared" si="2"/>
        <v>0.1299619513421882</v>
      </c>
      <c r="S44" s="136"/>
      <c r="T44" s="571">
        <v>0</v>
      </c>
      <c r="U44" s="136"/>
      <c r="V44" s="571">
        <v>0</v>
      </c>
      <c r="W44" s="136"/>
      <c r="X44" s="571">
        <v>0</v>
      </c>
      <c r="Y44" s="565">
        <v>442</v>
      </c>
      <c r="Z44" s="571">
        <f t="shared" si="3"/>
        <v>0.182359309502372</v>
      </c>
      <c r="AA44" s="173">
        <v>461</v>
      </c>
      <c r="AB44" s="571">
        <f t="shared" si="3"/>
        <v>0.19019828434523414</v>
      </c>
      <c r="AC44" s="173"/>
      <c r="AD44" s="571">
        <v>0</v>
      </c>
      <c r="AE44" s="576">
        <f t="shared" si="4"/>
        <v>22406</v>
      </c>
    </row>
    <row r="45" spans="1:31" ht="9.75" customHeight="1">
      <c r="A45" s="267"/>
      <c r="B45" s="564" t="s">
        <v>400</v>
      </c>
      <c r="C45" s="568">
        <v>30</v>
      </c>
      <c r="D45" s="568">
        <v>299</v>
      </c>
      <c r="E45" s="51">
        <v>0.0016</v>
      </c>
      <c r="F45" s="54">
        <f t="shared" si="0"/>
        <v>16.39853813366678</v>
      </c>
      <c r="G45" s="102" t="s">
        <v>220</v>
      </c>
      <c r="H45" s="568">
        <v>1926</v>
      </c>
      <c r="I45" s="576">
        <v>22348</v>
      </c>
      <c r="J45" s="50">
        <f t="shared" si="1"/>
        <v>2.6041493142632155</v>
      </c>
      <c r="K45" s="54">
        <f t="shared" si="5"/>
        <v>9.005113771779428</v>
      </c>
      <c r="L45" s="107">
        <f t="shared" si="6"/>
        <v>16.39853813366678</v>
      </c>
      <c r="M45" s="575">
        <f>M$46</f>
        <v>21188</v>
      </c>
      <c r="N45" s="569">
        <f t="shared" si="7"/>
        <v>8.53769243764375</v>
      </c>
      <c r="O45" s="136"/>
      <c r="P45" s="571">
        <v>0</v>
      </c>
      <c r="Q45" s="565">
        <f>Q$46</f>
        <v>315</v>
      </c>
      <c r="R45" s="571">
        <f t="shared" si="2"/>
        <v>0.12692906918339536</v>
      </c>
      <c r="S45" s="136"/>
      <c r="T45" s="571">
        <v>0</v>
      </c>
      <c r="U45" s="136"/>
      <c r="V45" s="571">
        <v>0</v>
      </c>
      <c r="W45" s="136"/>
      <c r="X45" s="571">
        <v>0</v>
      </c>
      <c r="Y45" s="565">
        <v>442</v>
      </c>
      <c r="Z45" s="571">
        <f t="shared" si="3"/>
        <v>0.17810364628273256</v>
      </c>
      <c r="AA45" s="173">
        <v>481</v>
      </c>
      <c r="AB45" s="571">
        <f t="shared" si="3"/>
        <v>0.19381867389591484</v>
      </c>
      <c r="AC45" s="173"/>
      <c r="AD45" s="571">
        <v>0</v>
      </c>
      <c r="AE45" s="576">
        <f t="shared" si="4"/>
        <v>22426</v>
      </c>
    </row>
    <row r="46" spans="1:31" ht="9.75" customHeight="1">
      <c r="A46" s="267"/>
      <c r="B46" s="267"/>
      <c r="C46" s="568">
        <v>30</v>
      </c>
      <c r="D46" s="568">
        <v>120</v>
      </c>
      <c r="E46" s="51">
        <v>0.0016</v>
      </c>
      <c r="F46" s="54">
        <f t="shared" si="0"/>
        <v>16.39853813366678</v>
      </c>
      <c r="G46" s="102" t="s">
        <v>220</v>
      </c>
      <c r="H46" s="568">
        <v>1926</v>
      </c>
      <c r="I46" s="576">
        <v>22348</v>
      </c>
      <c r="J46" s="50">
        <f t="shared" si="1"/>
        <v>2.6041493142632155</v>
      </c>
      <c r="K46" s="54">
        <f t="shared" si="5"/>
        <v>9.005113771779428</v>
      </c>
      <c r="L46" s="107">
        <f t="shared" si="6"/>
        <v>16.39853813366678</v>
      </c>
      <c r="M46" s="575">
        <v>21188</v>
      </c>
      <c r="N46" s="569">
        <f t="shared" si="7"/>
        <v>8.53769243764375</v>
      </c>
      <c r="O46" s="136"/>
      <c r="P46" s="571">
        <v>0</v>
      </c>
      <c r="Q46" s="565">
        <v>315</v>
      </c>
      <c r="R46" s="571">
        <f t="shared" si="2"/>
        <v>0.12692906918339536</v>
      </c>
      <c r="S46" s="565"/>
      <c r="T46" s="571">
        <v>0</v>
      </c>
      <c r="U46" s="136"/>
      <c r="V46" s="571">
        <v>0</v>
      </c>
      <c r="W46" s="136"/>
      <c r="X46" s="571">
        <v>0</v>
      </c>
      <c r="Y46" s="565">
        <v>442</v>
      </c>
      <c r="Z46" s="571">
        <f t="shared" si="3"/>
        <v>0.17810364628273256</v>
      </c>
      <c r="AA46" s="173">
        <v>481</v>
      </c>
      <c r="AB46" s="571">
        <f t="shared" si="3"/>
        <v>0.19381867389591484</v>
      </c>
      <c r="AC46" s="173"/>
      <c r="AD46" s="571">
        <v>0</v>
      </c>
      <c r="AE46" s="576">
        <f t="shared" si="4"/>
        <v>22426</v>
      </c>
    </row>
    <row r="47" spans="1:31" ht="9.75" customHeight="1">
      <c r="A47" s="267"/>
      <c r="B47" s="564" t="s">
        <v>351</v>
      </c>
      <c r="C47" s="568">
        <v>42</v>
      </c>
      <c r="D47" s="568">
        <v>317</v>
      </c>
      <c r="E47" s="51">
        <v>0.0015</v>
      </c>
      <c r="F47" s="54">
        <f t="shared" si="0"/>
        <v>38.946239848684634</v>
      </c>
      <c r="G47" s="102">
        <v>0</v>
      </c>
      <c r="H47" s="568">
        <v>1926</v>
      </c>
      <c r="I47" s="576">
        <v>69537</v>
      </c>
      <c r="J47" s="50">
        <f t="shared" si="1"/>
        <v>2.1346244176063816</v>
      </c>
      <c r="K47" s="54">
        <f t="shared" si="5"/>
        <v>22.967942000751226</v>
      </c>
      <c r="L47" s="107">
        <f t="shared" si="6"/>
        <v>38.946239848684634</v>
      </c>
      <c r="M47" s="575">
        <v>67303</v>
      </c>
      <c r="N47" s="569">
        <f t="shared" si="7"/>
        <v>22.23005594829457</v>
      </c>
      <c r="O47" s="136"/>
      <c r="P47" s="571">
        <v>0</v>
      </c>
      <c r="Q47" s="565">
        <v>315</v>
      </c>
      <c r="R47" s="571">
        <f t="shared" si="2"/>
        <v>0.10404391518524865</v>
      </c>
      <c r="S47" s="565"/>
      <c r="T47" s="571">
        <v>0</v>
      </c>
      <c r="U47" s="565"/>
      <c r="V47" s="571">
        <v>0</v>
      </c>
      <c r="W47" s="136"/>
      <c r="X47" s="571">
        <v>0</v>
      </c>
      <c r="Y47" s="565">
        <v>442</v>
      </c>
      <c r="Z47" s="571">
        <f t="shared" si="3"/>
        <v>0.14599177940279334</v>
      </c>
      <c r="AA47" s="173">
        <v>481</v>
      </c>
      <c r="AB47" s="571">
        <f t="shared" si="3"/>
        <v>0.15887340699715746</v>
      </c>
      <c r="AC47" s="173">
        <v>1075</v>
      </c>
      <c r="AD47" s="571">
        <f>$J47*100*AC47/(7.48*24*60*60)</f>
        <v>0.35507050420362635</v>
      </c>
      <c r="AE47" s="576">
        <f t="shared" si="4"/>
        <v>69616</v>
      </c>
    </row>
    <row r="48" spans="1:31" ht="9.75" customHeight="1">
      <c r="A48" s="267"/>
      <c r="B48" s="267"/>
      <c r="C48" s="568">
        <v>42</v>
      </c>
      <c r="D48" s="568">
        <v>330</v>
      </c>
      <c r="E48" s="51">
        <v>0.0015</v>
      </c>
      <c r="F48" s="54">
        <f t="shared" si="0"/>
        <v>38.946239848684634</v>
      </c>
      <c r="G48" s="102" t="s">
        <v>220</v>
      </c>
      <c r="H48" s="568">
        <v>1926</v>
      </c>
      <c r="I48" s="576">
        <v>79620</v>
      </c>
      <c r="J48" s="50">
        <f t="shared" si="1"/>
        <v>2.083339448266954</v>
      </c>
      <c r="K48" s="54">
        <f t="shared" si="5"/>
        <v>25.66651299623299</v>
      </c>
      <c r="L48" s="107">
        <f t="shared" si="6"/>
        <v>38.946239848684634</v>
      </c>
      <c r="M48" s="575">
        <v>77386</v>
      </c>
      <c r="N48" s="569">
        <f t="shared" si="7"/>
        <v>24.94635486971221</v>
      </c>
      <c r="O48" s="136"/>
      <c r="P48" s="571">
        <v>0</v>
      </c>
      <c r="Q48" s="565">
        <v>315</v>
      </c>
      <c r="R48" s="571">
        <f t="shared" si="2"/>
        <v>0.10154423001523978</v>
      </c>
      <c r="S48" s="565"/>
      <c r="T48" s="571">
        <v>0</v>
      </c>
      <c r="U48" s="136"/>
      <c r="V48" s="571">
        <v>0</v>
      </c>
      <c r="W48" s="136"/>
      <c r="X48" s="571">
        <v>0</v>
      </c>
      <c r="Y48" s="565">
        <v>442</v>
      </c>
      <c r="Z48" s="571">
        <f t="shared" si="3"/>
        <v>0.14248428465630472</v>
      </c>
      <c r="AA48" s="173">
        <v>481</v>
      </c>
      <c r="AB48" s="571">
        <f t="shared" si="3"/>
        <v>0.15505642742009632</v>
      </c>
      <c r="AC48" s="173">
        <v>1075</v>
      </c>
      <c r="AD48" s="571">
        <f>$J48*100*AC48/(7.48*24*60*60)</f>
        <v>0.34653983259169135</v>
      </c>
      <c r="AE48" s="576">
        <f t="shared" si="4"/>
        <v>79699</v>
      </c>
    </row>
    <row r="49" spans="1:31" ht="9.75" customHeight="1">
      <c r="A49" s="392"/>
      <c r="B49" s="25" t="s">
        <v>357</v>
      </c>
      <c r="C49" s="47">
        <v>0</v>
      </c>
      <c r="D49" s="47">
        <v>0</v>
      </c>
      <c r="E49" s="52">
        <v>0</v>
      </c>
      <c r="F49" s="61">
        <v>38.95</v>
      </c>
      <c r="G49" s="103">
        <v>0</v>
      </c>
      <c r="H49" s="43">
        <v>1926</v>
      </c>
      <c r="I49" s="55">
        <v>79620</v>
      </c>
      <c r="J49" s="58">
        <f t="shared" si="1"/>
        <v>2.083339448266954</v>
      </c>
      <c r="K49" s="61">
        <f t="shared" si="5"/>
        <v>25.66651299623299</v>
      </c>
      <c r="L49" s="108">
        <f t="shared" si="6"/>
        <v>38.95</v>
      </c>
      <c r="M49" s="101">
        <v>77386</v>
      </c>
      <c r="N49" s="67">
        <f t="shared" si="7"/>
        <v>24.94635486971221</v>
      </c>
      <c r="O49" s="137"/>
      <c r="P49" s="71">
        <v>0</v>
      </c>
      <c r="Q49" s="135">
        <v>315</v>
      </c>
      <c r="R49" s="71">
        <f t="shared" si="2"/>
        <v>0.10154423001523978</v>
      </c>
      <c r="S49" s="135"/>
      <c r="T49" s="71">
        <v>0</v>
      </c>
      <c r="U49" s="135"/>
      <c r="V49" s="71">
        <v>0</v>
      </c>
      <c r="W49" s="137"/>
      <c r="X49" s="71">
        <v>0</v>
      </c>
      <c r="Y49" s="135">
        <v>442</v>
      </c>
      <c r="Z49" s="71">
        <f t="shared" si="3"/>
        <v>0.14248428465630472</v>
      </c>
      <c r="AA49" s="413">
        <v>481</v>
      </c>
      <c r="AB49" s="71">
        <f t="shared" si="3"/>
        <v>0.15505642742009632</v>
      </c>
      <c r="AC49" s="413">
        <v>1075</v>
      </c>
      <c r="AD49" s="71">
        <f>$J49*100*AC49/(7.48*24*60*60)</f>
        <v>0.34653983259169135</v>
      </c>
      <c r="AE49" s="55">
        <f t="shared" si="4"/>
        <v>79699</v>
      </c>
    </row>
    <row r="50" spans="24:31" ht="12.75">
      <c r="X50" s="569"/>
      <c r="AC50" s="168"/>
      <c r="AD50" s="94"/>
      <c r="AE50" s="168"/>
    </row>
  </sheetData>
  <sheetProtection/>
  <mergeCells count="15">
    <mergeCell ref="W6:X6"/>
    <mergeCell ref="Y6:Z6"/>
    <mergeCell ref="AA6:AB6"/>
    <mergeCell ref="AC6:AD6"/>
    <mergeCell ref="W7:X7"/>
    <mergeCell ref="Y7:Z7"/>
    <mergeCell ref="AA7:AB7"/>
    <mergeCell ref="AC7:AD7"/>
    <mergeCell ref="A43:B43"/>
    <mergeCell ref="O6:P6"/>
    <mergeCell ref="S6:T6"/>
    <mergeCell ref="U6:V6"/>
    <mergeCell ref="M6:N6"/>
    <mergeCell ref="A7:B7"/>
    <mergeCell ref="Q6:R6"/>
  </mergeCells>
  <printOptions/>
  <pageMargins left="0.47" right="0.42" top="0.75" bottom="0.75" header="0.3" footer="0.3"/>
  <pageSetup fitToHeight="1" fitToWidth="1" horizontalDpi="600" verticalDpi="600" orientation="landscape" scale="85" r:id="rId1"/>
  <headerFooter alignWithMargins="0">
    <oddFooter>&amp;L&amp;8Revised:                             6/1/2012
App. by OSG Tech. Comm.  &amp;CPage 8 of 13 Pages</oddFooter>
  </headerFooter>
  <rowBreaks count="1" manualBreakCount="1">
    <brk id="81" max="255" man="1"/>
  </rowBreaks>
  <colBreaks count="1" manualBreakCount="1">
    <brk id="8" max="65535" man="1"/>
  </colBreaks>
</worksheet>
</file>

<file path=xl/worksheets/sheet16.xml><?xml version="1.0" encoding="utf-8"?>
<worksheet xmlns="http://schemas.openxmlformats.org/spreadsheetml/2006/main" xmlns:r="http://schemas.openxmlformats.org/officeDocument/2006/relationships">
  <sheetPr>
    <pageSetUpPr fitToPage="1"/>
  </sheetPr>
  <dimension ref="A1:AE58"/>
  <sheetViews>
    <sheetView view="pageLayout" zoomScale="0" zoomScaleSheetLayoutView="100" zoomScalePageLayoutView="0" workbookViewId="0" topLeftCell="A1">
      <selection activeCell="G28" sqref="G28"/>
      <selection activeCell="A1" sqref="A1"/>
    </sheetView>
  </sheetViews>
  <sheetFormatPr defaultColWidth="9.140625" defaultRowHeight="9.75" customHeight="1"/>
  <cols>
    <col min="1" max="1" width="6.7109375" style="0" customWidth="1"/>
    <col min="2" max="2" width="6.421875" style="0" customWidth="1"/>
    <col min="3" max="4" width="4.7109375" style="0" customWidth="1"/>
    <col min="5" max="5" width="4.7109375" style="244" customWidth="1"/>
    <col min="6" max="6" width="4.7109375" style="0" customWidth="1"/>
    <col min="7" max="7" width="4.7109375" style="223" customWidth="1"/>
    <col min="8" max="8" width="4.7109375" style="0" customWidth="1"/>
    <col min="9" max="9" width="4.7109375" style="220" customWidth="1"/>
    <col min="10" max="12" width="4.7109375" style="0" customWidth="1"/>
    <col min="13" max="13" width="4.7109375" style="220" customWidth="1"/>
    <col min="14" max="19" width="4.7109375" style="0" customWidth="1"/>
    <col min="20" max="20" width="7.00390625" style="0" bestFit="1" customWidth="1"/>
    <col min="21" max="25" width="4.7109375" style="0" customWidth="1"/>
    <col min="26" max="26" width="5.28125" style="0" customWidth="1"/>
    <col min="27" max="27" width="5.00390625" style="220" bestFit="1" customWidth="1"/>
    <col min="28" max="28" width="7.00390625" style="0" bestFit="1" customWidth="1"/>
    <col min="29" max="29" width="4.7109375" style="0" customWidth="1"/>
    <col min="30" max="30" width="5.421875" style="0" customWidth="1"/>
    <col min="31" max="31" width="8.00390625" style="0" bestFit="1" customWidth="1"/>
  </cols>
  <sheetData>
    <row r="1" spans="1:31" ht="15" customHeight="1">
      <c r="A1" s="88" t="s">
        <v>172</v>
      </c>
      <c r="U1" s="88"/>
      <c r="V1" s="88"/>
      <c r="W1" s="88"/>
      <c r="X1" s="88"/>
      <c r="Y1" s="88"/>
      <c r="Z1" s="88"/>
      <c r="AA1" s="88"/>
      <c r="AB1" s="88"/>
      <c r="AC1" s="551"/>
      <c r="AD1" s="551"/>
      <c r="AE1" s="551"/>
    </row>
    <row r="2" spans="1:31" ht="15" customHeight="1">
      <c r="A2" s="88" t="s">
        <v>1</v>
      </c>
      <c r="AA2"/>
      <c r="AC2" s="551"/>
      <c r="AD2" s="551"/>
      <c r="AE2" s="551"/>
    </row>
    <row r="3" ht="15" customHeight="1">
      <c r="A3" s="88" t="s">
        <v>2</v>
      </c>
    </row>
    <row r="4" ht="15" customHeight="1">
      <c r="A4" s="88" t="s">
        <v>173</v>
      </c>
    </row>
    <row r="5" ht="15" customHeight="1">
      <c r="A5" s="22" t="s">
        <v>342</v>
      </c>
    </row>
    <row r="7" spans="1:31" s="22" customFormat="1" ht="9.75" customHeight="1">
      <c r="A7" s="564"/>
      <c r="B7" s="564"/>
      <c r="C7" s="568"/>
      <c r="D7" s="568"/>
      <c r="E7" s="51"/>
      <c r="F7" s="41"/>
      <c r="G7" s="102" t="s">
        <v>44</v>
      </c>
      <c r="H7" s="568"/>
      <c r="I7" s="576" t="s">
        <v>175</v>
      </c>
      <c r="J7" s="568"/>
      <c r="K7" s="41" t="s">
        <v>203</v>
      </c>
      <c r="L7" s="42" t="s">
        <v>204</v>
      </c>
      <c r="M7" s="672" t="s">
        <v>44</v>
      </c>
      <c r="N7" s="673"/>
      <c r="O7" s="670" t="s">
        <v>66</v>
      </c>
      <c r="P7" s="671"/>
      <c r="Q7" s="670" t="s">
        <v>177</v>
      </c>
      <c r="R7" s="671"/>
      <c r="S7" s="670" t="s">
        <v>51</v>
      </c>
      <c r="T7" s="671"/>
      <c r="U7" s="670" t="s">
        <v>178</v>
      </c>
      <c r="V7" s="671"/>
      <c r="W7" s="670" t="s">
        <v>68</v>
      </c>
      <c r="X7" s="671"/>
      <c r="Y7" s="670" t="s">
        <v>65</v>
      </c>
      <c r="Z7" s="671"/>
      <c r="AA7" s="670" t="s">
        <v>207</v>
      </c>
      <c r="AB7" s="671"/>
      <c r="AC7" s="670" t="s">
        <v>208</v>
      </c>
      <c r="AD7" s="671"/>
      <c r="AE7" s="568" t="s">
        <v>7</v>
      </c>
    </row>
    <row r="8" spans="1:31" ht="9.75" customHeight="1">
      <c r="A8" s="669" t="s">
        <v>179</v>
      </c>
      <c r="B8" s="669"/>
      <c r="C8" s="568" t="s">
        <v>180</v>
      </c>
      <c r="D8" s="568" t="s">
        <v>181</v>
      </c>
      <c r="E8" s="51" t="s">
        <v>182</v>
      </c>
      <c r="F8" s="41" t="s">
        <v>183</v>
      </c>
      <c r="G8" s="102" t="s">
        <v>204</v>
      </c>
      <c r="H8" s="568" t="s">
        <v>212</v>
      </c>
      <c r="I8" s="576" t="s">
        <v>184</v>
      </c>
      <c r="J8" s="568" t="s">
        <v>185</v>
      </c>
      <c r="K8" s="41" t="s">
        <v>204</v>
      </c>
      <c r="L8" s="42" t="s">
        <v>199</v>
      </c>
      <c r="M8" s="575" t="s">
        <v>187</v>
      </c>
      <c r="N8" s="568" t="s">
        <v>200</v>
      </c>
      <c r="O8" s="565" t="s">
        <v>187</v>
      </c>
      <c r="P8" s="566" t="s">
        <v>200</v>
      </c>
      <c r="Q8" s="565" t="s">
        <v>187</v>
      </c>
      <c r="R8" s="566" t="s">
        <v>200</v>
      </c>
      <c r="S8" s="565" t="s">
        <v>187</v>
      </c>
      <c r="T8" s="566" t="s">
        <v>200</v>
      </c>
      <c r="U8" s="565" t="s">
        <v>187</v>
      </c>
      <c r="V8" s="566" t="s">
        <v>200</v>
      </c>
      <c r="W8" s="565" t="s">
        <v>187</v>
      </c>
      <c r="X8" s="566" t="s">
        <v>200</v>
      </c>
      <c r="Y8" s="565" t="s">
        <v>187</v>
      </c>
      <c r="Z8" s="566" t="s">
        <v>200</v>
      </c>
      <c r="AA8" s="173" t="s">
        <v>187</v>
      </c>
      <c r="AB8" s="566" t="s">
        <v>200</v>
      </c>
      <c r="AC8" s="565" t="s">
        <v>187</v>
      </c>
      <c r="AD8" s="566" t="s">
        <v>200</v>
      </c>
      <c r="AE8" s="568" t="s">
        <v>187</v>
      </c>
    </row>
    <row r="9" spans="1:31" s="22" customFormat="1" ht="9.75" customHeight="1" thickBot="1">
      <c r="A9" s="39"/>
      <c r="B9" s="39"/>
      <c r="C9" s="78" t="s">
        <v>189</v>
      </c>
      <c r="D9" s="78" t="s">
        <v>315</v>
      </c>
      <c r="E9" s="79" t="s">
        <v>202</v>
      </c>
      <c r="F9" s="80" t="s">
        <v>191</v>
      </c>
      <c r="G9" s="111" t="s">
        <v>191</v>
      </c>
      <c r="H9" s="78" t="s">
        <v>192</v>
      </c>
      <c r="I9" s="82"/>
      <c r="J9" s="78" t="s">
        <v>194</v>
      </c>
      <c r="K9" s="80" t="s">
        <v>191</v>
      </c>
      <c r="L9" s="85" t="s">
        <v>191</v>
      </c>
      <c r="M9" s="171"/>
      <c r="N9" s="78" t="s">
        <v>191</v>
      </c>
      <c r="O9" s="172"/>
      <c r="P9" s="174" t="s">
        <v>191</v>
      </c>
      <c r="Q9" s="172"/>
      <c r="R9" s="174" t="s">
        <v>191</v>
      </c>
      <c r="S9" s="172"/>
      <c r="T9" s="174" t="s">
        <v>191</v>
      </c>
      <c r="U9" s="172"/>
      <c r="V9" s="174" t="s">
        <v>191</v>
      </c>
      <c r="W9" s="172"/>
      <c r="X9" s="174" t="s">
        <v>191</v>
      </c>
      <c r="Y9" s="172"/>
      <c r="Z9" s="174" t="s">
        <v>191</v>
      </c>
      <c r="AA9" s="175"/>
      <c r="AB9" s="174" t="s">
        <v>191</v>
      </c>
      <c r="AC9" s="172"/>
      <c r="AD9" s="174" t="s">
        <v>191</v>
      </c>
      <c r="AE9" s="78"/>
    </row>
    <row r="10" spans="1:31" ht="9.75" customHeight="1" thickTop="1">
      <c r="A10" s="564" t="s">
        <v>328</v>
      </c>
      <c r="B10" s="564" t="s">
        <v>329</v>
      </c>
      <c r="C10" s="568">
        <v>18</v>
      </c>
      <c r="D10" s="568">
        <v>227</v>
      </c>
      <c r="E10" s="51">
        <v>0.002</v>
      </c>
      <c r="F10" s="54">
        <f aca="true" t="shared" si="0" ref="F10:F16">(1.486/0.013)*((3.14*($C10*$C10)/4)/144)*SQRT($E10)*POWER($C10/12/4,2/3)</f>
        <v>4.695301392460716</v>
      </c>
      <c r="G10" s="102">
        <v>4</v>
      </c>
      <c r="H10" s="568">
        <v>1972</v>
      </c>
      <c r="I10" s="576">
        <v>6515</v>
      </c>
      <c r="J10" s="50">
        <f aca="true" t="shared" si="1" ref="J10:J57">(18+SQRT(I10/1000))/(4+SQRT(I10/1000))</f>
        <v>3.1366054559113743</v>
      </c>
      <c r="K10" s="54">
        <f aca="true" t="shared" si="2" ref="K10:K57">I10:I10*100*J10/(7.48*24*60*60)</f>
        <v>3.1619789415698967</v>
      </c>
      <c r="L10" s="107">
        <f>G10</f>
        <v>4</v>
      </c>
      <c r="M10" s="575">
        <v>5720</v>
      </c>
      <c r="N10" s="147">
        <f aca="true" t="shared" si="3" ref="N10:N57">J10*100*M10/(7.48*24*60*60)</f>
        <v>2.776135003189533</v>
      </c>
      <c r="O10" s="565"/>
      <c r="P10" s="571">
        <v>0</v>
      </c>
      <c r="Q10" s="565"/>
      <c r="R10" s="571">
        <v>0</v>
      </c>
      <c r="S10" s="565"/>
      <c r="T10" s="571">
        <v>0</v>
      </c>
      <c r="U10" s="241"/>
      <c r="V10" s="571">
        <v>0</v>
      </c>
      <c r="W10" s="241"/>
      <c r="X10" s="571">
        <v>0</v>
      </c>
      <c r="Y10" s="241"/>
      <c r="Z10" s="571">
        <v>0</v>
      </c>
      <c r="AA10" s="218"/>
      <c r="AB10" s="170">
        <f>J10*100*AA10/(7.48*24*60*60)</f>
        <v>0</v>
      </c>
      <c r="AC10" s="241"/>
      <c r="AD10" s="571">
        <v>0</v>
      </c>
      <c r="AE10" s="576">
        <f>AC10+AA10+Y10+W10+U10+S10+Q10+O10+M10</f>
        <v>5720</v>
      </c>
    </row>
    <row r="11" spans="1:31" ht="9.75" customHeight="1">
      <c r="A11" s="267"/>
      <c r="B11" s="267"/>
      <c r="C11" s="568">
        <v>18</v>
      </c>
      <c r="D11" s="568">
        <v>326</v>
      </c>
      <c r="E11" s="51">
        <v>0.002</v>
      </c>
      <c r="F11" s="54">
        <f t="shared" si="0"/>
        <v>4.695301392460716</v>
      </c>
      <c r="G11" s="102">
        <v>4</v>
      </c>
      <c r="H11" s="568">
        <v>1972</v>
      </c>
      <c r="I11" s="576">
        <v>6515</v>
      </c>
      <c r="J11" s="50">
        <f t="shared" si="1"/>
        <v>3.1366054559113743</v>
      </c>
      <c r="K11" s="54">
        <f t="shared" si="2"/>
        <v>3.1619789415698967</v>
      </c>
      <c r="L11" s="107">
        <f aca="true" t="shared" si="4" ref="L11:L57">G11</f>
        <v>4</v>
      </c>
      <c r="M11" s="575">
        <v>5720</v>
      </c>
      <c r="N11" s="147">
        <f t="shared" si="3"/>
        <v>2.776135003189533</v>
      </c>
      <c r="O11" s="136"/>
      <c r="P11" s="571">
        <v>0</v>
      </c>
      <c r="Q11" s="136"/>
      <c r="R11" s="571">
        <v>0</v>
      </c>
      <c r="S11" s="136"/>
      <c r="T11" s="571">
        <v>0</v>
      </c>
      <c r="U11" s="136"/>
      <c r="V11" s="571">
        <v>0</v>
      </c>
      <c r="W11" s="136"/>
      <c r="X11" s="571">
        <v>0</v>
      </c>
      <c r="Y11" s="136"/>
      <c r="Z11" s="571">
        <v>0</v>
      </c>
      <c r="AA11" s="218"/>
      <c r="AB11" s="170">
        <f aca="true" t="shared" si="5" ref="AB11:AB57">J11*100*AA11/(7.48*24*60*60)</f>
        <v>0</v>
      </c>
      <c r="AC11" s="136"/>
      <c r="AD11" s="571">
        <v>0</v>
      </c>
      <c r="AE11" s="576">
        <f aca="true" t="shared" si="6" ref="AE11:AE57">AC11+AA11+Y11+W11+U11+S11+Q11+O11+M11</f>
        <v>5720</v>
      </c>
    </row>
    <row r="12" spans="1:31" ht="9.75" customHeight="1">
      <c r="A12" s="267"/>
      <c r="B12" s="267"/>
      <c r="C12" s="568">
        <v>18</v>
      </c>
      <c r="D12" s="568">
        <v>302</v>
      </c>
      <c r="E12" s="51">
        <v>0.002</v>
      </c>
      <c r="F12" s="54">
        <f t="shared" si="0"/>
        <v>4.695301392460716</v>
      </c>
      <c r="G12" s="102">
        <v>4</v>
      </c>
      <c r="H12" s="568">
        <v>1972</v>
      </c>
      <c r="I12" s="576">
        <v>6515</v>
      </c>
      <c r="J12" s="50">
        <f t="shared" si="1"/>
        <v>3.1366054559113743</v>
      </c>
      <c r="K12" s="54">
        <f t="shared" si="2"/>
        <v>3.1619789415698967</v>
      </c>
      <c r="L12" s="107">
        <f t="shared" si="4"/>
        <v>4</v>
      </c>
      <c r="M12" s="575">
        <v>5720</v>
      </c>
      <c r="N12" s="147">
        <f t="shared" si="3"/>
        <v>2.776135003189533</v>
      </c>
      <c r="O12" s="136"/>
      <c r="P12" s="571">
        <v>0</v>
      </c>
      <c r="Q12" s="136"/>
      <c r="R12" s="571">
        <v>0</v>
      </c>
      <c r="S12" s="136"/>
      <c r="T12" s="571">
        <v>0</v>
      </c>
      <c r="U12" s="565"/>
      <c r="V12" s="571">
        <v>0</v>
      </c>
      <c r="W12" s="136"/>
      <c r="X12" s="571">
        <v>0</v>
      </c>
      <c r="Y12" s="136"/>
      <c r="Z12" s="571">
        <v>0</v>
      </c>
      <c r="AA12" s="218"/>
      <c r="AB12" s="170">
        <f t="shared" si="5"/>
        <v>0</v>
      </c>
      <c r="AC12" s="136"/>
      <c r="AD12" s="571">
        <v>0</v>
      </c>
      <c r="AE12" s="576">
        <f t="shared" si="6"/>
        <v>5720</v>
      </c>
    </row>
    <row r="13" spans="1:31" ht="9.75" customHeight="1">
      <c r="A13" s="267"/>
      <c r="B13" s="267"/>
      <c r="C13" s="568">
        <v>18</v>
      </c>
      <c r="D13" s="568">
        <v>287</v>
      </c>
      <c r="E13" s="51">
        <v>0.002</v>
      </c>
      <c r="F13" s="54">
        <f t="shared" si="0"/>
        <v>4.695301392460716</v>
      </c>
      <c r="G13" s="102">
        <v>4</v>
      </c>
      <c r="H13" s="568">
        <v>1972</v>
      </c>
      <c r="I13" s="576">
        <v>6515</v>
      </c>
      <c r="J13" s="50">
        <f t="shared" si="1"/>
        <v>3.1366054559113743</v>
      </c>
      <c r="K13" s="54">
        <f t="shared" si="2"/>
        <v>3.1619789415698967</v>
      </c>
      <c r="L13" s="107">
        <f t="shared" si="4"/>
        <v>4</v>
      </c>
      <c r="M13" s="575">
        <v>5720</v>
      </c>
      <c r="N13" s="147">
        <f t="shared" si="3"/>
        <v>2.776135003189533</v>
      </c>
      <c r="O13" s="565"/>
      <c r="P13" s="571">
        <v>0</v>
      </c>
      <c r="Q13" s="565"/>
      <c r="R13" s="571">
        <v>0</v>
      </c>
      <c r="S13" s="565"/>
      <c r="T13" s="571">
        <v>0</v>
      </c>
      <c r="U13" s="136"/>
      <c r="V13" s="571">
        <v>0</v>
      </c>
      <c r="W13" s="136"/>
      <c r="X13" s="571">
        <v>0</v>
      </c>
      <c r="Y13" s="136"/>
      <c r="Z13" s="571">
        <v>0</v>
      </c>
      <c r="AA13" s="218"/>
      <c r="AB13" s="170">
        <f t="shared" si="5"/>
        <v>0</v>
      </c>
      <c r="AC13" s="136"/>
      <c r="AD13" s="571">
        <v>0</v>
      </c>
      <c r="AE13" s="576">
        <f t="shared" si="6"/>
        <v>5720</v>
      </c>
    </row>
    <row r="14" spans="1:31" ht="9.75" customHeight="1">
      <c r="A14" s="267"/>
      <c r="B14" s="267"/>
      <c r="C14" s="568">
        <v>18</v>
      </c>
      <c r="D14" s="568">
        <v>165</v>
      </c>
      <c r="E14" s="51">
        <v>0.002</v>
      </c>
      <c r="F14" s="54">
        <f t="shared" si="0"/>
        <v>4.695301392460716</v>
      </c>
      <c r="G14" s="102">
        <v>4</v>
      </c>
      <c r="H14" s="568">
        <v>1972</v>
      </c>
      <c r="I14" s="576">
        <f>I$19</f>
        <v>6775</v>
      </c>
      <c r="J14" s="50">
        <f t="shared" si="1"/>
        <v>3.1202859363146844</v>
      </c>
      <c r="K14" s="54">
        <f t="shared" si="2"/>
        <v>3.271058814018244</v>
      </c>
      <c r="L14" s="102">
        <f t="shared" si="4"/>
        <v>4</v>
      </c>
      <c r="M14" s="575">
        <f>M$19</f>
        <v>5720</v>
      </c>
      <c r="N14" s="147">
        <f t="shared" si="3"/>
        <v>2.7616909839386503</v>
      </c>
      <c r="O14" s="136"/>
      <c r="P14" s="569">
        <v>0</v>
      </c>
      <c r="Q14" s="173"/>
      <c r="R14" s="571">
        <v>0</v>
      </c>
      <c r="S14" s="565"/>
      <c r="T14" s="571">
        <v>0</v>
      </c>
      <c r="U14" s="565"/>
      <c r="V14" s="571">
        <v>0</v>
      </c>
      <c r="W14" s="565"/>
      <c r="X14" s="571">
        <v>0</v>
      </c>
      <c r="Y14" s="136"/>
      <c r="Z14" s="571">
        <v>0</v>
      </c>
      <c r="AA14" s="218"/>
      <c r="AB14" s="170">
        <f t="shared" si="5"/>
        <v>0</v>
      </c>
      <c r="AC14" s="136"/>
      <c r="AD14" s="571">
        <v>0</v>
      </c>
      <c r="AE14" s="576">
        <f t="shared" si="6"/>
        <v>5720</v>
      </c>
    </row>
    <row r="15" spans="1:31" ht="9.75" customHeight="1">
      <c r="A15" s="267"/>
      <c r="B15" s="267"/>
      <c r="C15" s="568">
        <v>18</v>
      </c>
      <c r="D15" s="568">
        <v>352</v>
      </c>
      <c r="E15" s="51">
        <v>0.002</v>
      </c>
      <c r="F15" s="54">
        <f t="shared" si="0"/>
        <v>4.695301392460716</v>
      </c>
      <c r="G15" s="102">
        <v>4</v>
      </c>
      <c r="H15" s="568">
        <v>1972</v>
      </c>
      <c r="I15" s="576">
        <f>I$19</f>
        <v>6775</v>
      </c>
      <c r="J15" s="50">
        <f t="shared" si="1"/>
        <v>3.1202859363146844</v>
      </c>
      <c r="K15" s="54">
        <f t="shared" si="2"/>
        <v>3.271058814018244</v>
      </c>
      <c r="L15" s="102">
        <f t="shared" si="4"/>
        <v>4</v>
      </c>
      <c r="M15" s="575">
        <f>M$19</f>
        <v>5720</v>
      </c>
      <c r="N15" s="147">
        <f t="shared" si="3"/>
        <v>2.7616909839386503</v>
      </c>
      <c r="O15" s="136"/>
      <c r="P15" s="569">
        <v>0</v>
      </c>
      <c r="Q15" s="173"/>
      <c r="R15" s="571">
        <v>0</v>
      </c>
      <c r="S15" s="136"/>
      <c r="T15" s="571">
        <v>0</v>
      </c>
      <c r="U15" s="565"/>
      <c r="V15" s="571">
        <v>0</v>
      </c>
      <c r="W15" s="565"/>
      <c r="X15" s="571">
        <v>0</v>
      </c>
      <c r="Y15" s="136"/>
      <c r="Z15" s="571">
        <v>0</v>
      </c>
      <c r="AA15" s="218"/>
      <c r="AB15" s="170">
        <f t="shared" si="5"/>
        <v>0</v>
      </c>
      <c r="AC15" s="136"/>
      <c r="AD15" s="571">
        <v>0</v>
      </c>
      <c r="AE15" s="576">
        <f t="shared" si="6"/>
        <v>5720</v>
      </c>
    </row>
    <row r="16" spans="1:31" ht="9.75" customHeight="1">
      <c r="A16" s="267"/>
      <c r="B16" s="267"/>
      <c r="C16" s="568">
        <v>18</v>
      </c>
      <c r="D16" s="568">
        <v>352</v>
      </c>
      <c r="E16" s="51">
        <v>0.002</v>
      </c>
      <c r="F16" s="54">
        <f t="shared" si="0"/>
        <v>4.695301392460716</v>
      </c>
      <c r="G16" s="102">
        <v>4</v>
      </c>
      <c r="H16" s="568">
        <v>1972</v>
      </c>
      <c r="I16" s="576">
        <f>I$19</f>
        <v>6775</v>
      </c>
      <c r="J16" s="50">
        <f t="shared" si="1"/>
        <v>3.1202859363146844</v>
      </c>
      <c r="K16" s="54">
        <f t="shared" si="2"/>
        <v>3.271058814018244</v>
      </c>
      <c r="L16" s="102">
        <f t="shared" si="4"/>
        <v>4</v>
      </c>
      <c r="M16" s="575">
        <f>M$19</f>
        <v>5720</v>
      </c>
      <c r="N16" s="147">
        <f t="shared" si="3"/>
        <v>2.7616909839386503</v>
      </c>
      <c r="O16" s="136"/>
      <c r="P16" s="569">
        <v>0</v>
      </c>
      <c r="Q16" s="173"/>
      <c r="R16" s="571">
        <v>0</v>
      </c>
      <c r="S16" s="136"/>
      <c r="T16" s="571">
        <v>0</v>
      </c>
      <c r="U16" s="136"/>
      <c r="V16" s="571">
        <v>0</v>
      </c>
      <c r="W16" s="136"/>
      <c r="X16" s="571">
        <v>0</v>
      </c>
      <c r="Y16" s="136"/>
      <c r="Z16" s="571">
        <v>0</v>
      </c>
      <c r="AA16" s="218"/>
      <c r="AB16" s="170">
        <f t="shared" si="5"/>
        <v>0</v>
      </c>
      <c r="AC16" s="136"/>
      <c r="AD16" s="571">
        <v>0</v>
      </c>
      <c r="AE16" s="576">
        <f t="shared" si="6"/>
        <v>5720</v>
      </c>
    </row>
    <row r="17" spans="1:31" ht="9.75" customHeight="1">
      <c r="A17" s="267"/>
      <c r="B17" s="267"/>
      <c r="C17" s="568">
        <v>18</v>
      </c>
      <c r="D17" s="568">
        <v>307</v>
      </c>
      <c r="E17" s="51">
        <v>0.002</v>
      </c>
      <c r="F17" s="54">
        <f aca="true" t="shared" si="7" ref="F17:F27">(1.486/0.013)*((3.14*($C17*$C17)/4)/144)*SQRT($E17)*POWER($C17/12/4,2/3)</f>
        <v>4.695301392460716</v>
      </c>
      <c r="G17" s="102">
        <v>4</v>
      </c>
      <c r="H17" s="568">
        <v>1972</v>
      </c>
      <c r="I17" s="576">
        <f>I$19</f>
        <v>6775</v>
      </c>
      <c r="J17" s="50">
        <f t="shared" si="1"/>
        <v>3.1202859363146844</v>
      </c>
      <c r="K17" s="54">
        <f t="shared" si="2"/>
        <v>3.271058814018244</v>
      </c>
      <c r="L17" s="102">
        <f t="shared" si="4"/>
        <v>4</v>
      </c>
      <c r="M17" s="575">
        <f>M$19</f>
        <v>5720</v>
      </c>
      <c r="N17" s="147">
        <f t="shared" si="3"/>
        <v>2.7616909839386503</v>
      </c>
      <c r="O17" s="136"/>
      <c r="P17" s="569">
        <v>0</v>
      </c>
      <c r="Q17" s="173"/>
      <c r="R17" s="571">
        <v>0</v>
      </c>
      <c r="S17" s="136"/>
      <c r="T17" s="571">
        <v>0</v>
      </c>
      <c r="U17" s="136"/>
      <c r="V17" s="571">
        <v>0</v>
      </c>
      <c r="W17" s="136"/>
      <c r="X17" s="571">
        <v>0</v>
      </c>
      <c r="Y17" s="136"/>
      <c r="Z17" s="571">
        <v>0</v>
      </c>
      <c r="AA17" s="218"/>
      <c r="AB17" s="170">
        <f t="shared" si="5"/>
        <v>0</v>
      </c>
      <c r="AC17" s="136"/>
      <c r="AD17" s="571">
        <v>0</v>
      </c>
      <c r="AE17" s="576">
        <f t="shared" si="6"/>
        <v>5720</v>
      </c>
    </row>
    <row r="18" spans="1:31" ht="9.75" customHeight="1">
      <c r="A18" s="267"/>
      <c r="B18" s="267"/>
      <c r="C18" s="568"/>
      <c r="D18" s="568"/>
      <c r="E18" s="51"/>
      <c r="F18" s="54"/>
      <c r="G18" s="102"/>
      <c r="H18" s="568"/>
      <c r="I18" s="576"/>
      <c r="J18" s="50"/>
      <c r="K18" s="54"/>
      <c r="L18" s="102"/>
      <c r="M18" s="575"/>
      <c r="N18" s="147"/>
      <c r="O18" s="136"/>
      <c r="P18" s="569"/>
      <c r="Q18" s="173"/>
      <c r="R18" s="571"/>
      <c r="S18" s="136"/>
      <c r="T18" s="571"/>
      <c r="U18" s="136"/>
      <c r="V18" s="571"/>
      <c r="W18" s="136"/>
      <c r="X18" s="571"/>
      <c r="Y18" s="136"/>
      <c r="Z18" s="571"/>
      <c r="AA18" s="218"/>
      <c r="AB18" s="170"/>
      <c r="AC18" s="136"/>
      <c r="AD18" s="571"/>
      <c r="AE18" s="576"/>
    </row>
    <row r="19" spans="1:31" ht="9.75" customHeight="1">
      <c r="A19" s="669" t="s">
        <v>330</v>
      </c>
      <c r="B19" s="669"/>
      <c r="C19" s="568">
        <v>18</v>
      </c>
      <c r="D19" s="568">
        <v>90</v>
      </c>
      <c r="E19" s="51">
        <v>0.0058</v>
      </c>
      <c r="F19" s="54">
        <f t="shared" si="7"/>
        <v>7.995810151668578</v>
      </c>
      <c r="G19" s="102">
        <v>4.1</v>
      </c>
      <c r="H19" s="568">
        <v>1972</v>
      </c>
      <c r="I19" s="576">
        <v>6775</v>
      </c>
      <c r="J19" s="50">
        <f t="shared" si="1"/>
        <v>3.1202859363146844</v>
      </c>
      <c r="K19" s="54">
        <f t="shared" si="2"/>
        <v>3.271058814018244</v>
      </c>
      <c r="L19" s="107">
        <f t="shared" si="4"/>
        <v>4.1</v>
      </c>
      <c r="M19" s="575">
        <v>5720</v>
      </c>
      <c r="N19" s="147">
        <f t="shared" si="3"/>
        <v>2.7616909839386503</v>
      </c>
      <c r="O19" s="136"/>
      <c r="P19" s="571">
        <v>0</v>
      </c>
      <c r="Q19" s="136"/>
      <c r="R19" s="571">
        <v>0</v>
      </c>
      <c r="S19" s="136"/>
      <c r="T19" s="571">
        <v>0</v>
      </c>
      <c r="U19" s="565"/>
      <c r="V19" s="571">
        <v>0</v>
      </c>
      <c r="W19" s="565"/>
      <c r="X19" s="571">
        <v>0</v>
      </c>
      <c r="Y19" s="136"/>
      <c r="Z19" s="571">
        <v>0</v>
      </c>
      <c r="AA19" s="218"/>
      <c r="AB19" s="170">
        <f t="shared" si="5"/>
        <v>0</v>
      </c>
      <c r="AC19" s="173">
        <v>1055</v>
      </c>
      <c r="AD19" s="571">
        <v>0</v>
      </c>
      <c r="AE19" s="576">
        <f t="shared" si="6"/>
        <v>6775</v>
      </c>
    </row>
    <row r="20" spans="1:31" ht="9.75" customHeight="1">
      <c r="A20" s="267"/>
      <c r="B20" s="267"/>
      <c r="C20" s="568">
        <v>18</v>
      </c>
      <c r="D20" s="568">
        <v>180</v>
      </c>
      <c r="E20" s="51">
        <v>0.0058</v>
      </c>
      <c r="F20" s="54"/>
      <c r="G20" s="102">
        <v>4.1</v>
      </c>
      <c r="H20" s="568">
        <v>1972</v>
      </c>
      <c r="I20" s="576">
        <v>6775</v>
      </c>
      <c r="J20" s="50">
        <f t="shared" si="1"/>
        <v>3.1202859363146844</v>
      </c>
      <c r="K20" s="54">
        <f t="shared" si="2"/>
        <v>3.271058814018244</v>
      </c>
      <c r="L20" s="107">
        <f t="shared" si="4"/>
        <v>4.1</v>
      </c>
      <c r="M20" s="575">
        <v>5720</v>
      </c>
      <c r="N20" s="147">
        <f t="shared" si="3"/>
        <v>2.7616909839386503</v>
      </c>
      <c r="O20" s="136"/>
      <c r="P20" s="571">
        <v>0</v>
      </c>
      <c r="Q20" s="565"/>
      <c r="R20" s="571">
        <v>0</v>
      </c>
      <c r="S20" s="565"/>
      <c r="T20" s="571">
        <v>0</v>
      </c>
      <c r="U20" s="136"/>
      <c r="V20" s="571">
        <v>0</v>
      </c>
      <c r="W20" s="136"/>
      <c r="X20" s="571">
        <v>0</v>
      </c>
      <c r="Y20" s="136"/>
      <c r="Z20" s="571">
        <v>0</v>
      </c>
      <c r="AA20" s="218"/>
      <c r="AB20" s="170">
        <f t="shared" si="5"/>
        <v>0</v>
      </c>
      <c r="AC20" s="173">
        <v>1055</v>
      </c>
      <c r="AD20" s="571">
        <v>0</v>
      </c>
      <c r="AE20" s="576">
        <f t="shared" si="6"/>
        <v>6775</v>
      </c>
    </row>
    <row r="21" spans="1:31" ht="9.75" customHeight="1">
      <c r="A21" s="267"/>
      <c r="B21" s="267"/>
      <c r="C21" s="568">
        <v>18</v>
      </c>
      <c r="D21" s="568">
        <v>185</v>
      </c>
      <c r="E21" s="51">
        <v>0.0058</v>
      </c>
      <c r="F21" s="54">
        <f t="shared" si="7"/>
        <v>7.995810151668578</v>
      </c>
      <c r="G21" s="102">
        <v>4.1</v>
      </c>
      <c r="H21" s="568">
        <v>1972</v>
      </c>
      <c r="I21" s="576">
        <v>6775</v>
      </c>
      <c r="J21" s="50">
        <f t="shared" si="1"/>
        <v>3.1202859363146844</v>
      </c>
      <c r="K21" s="54">
        <f t="shared" si="2"/>
        <v>3.271058814018244</v>
      </c>
      <c r="L21" s="107">
        <f t="shared" si="4"/>
        <v>4.1</v>
      </c>
      <c r="M21" s="575">
        <v>5720</v>
      </c>
      <c r="N21" s="147">
        <f t="shared" si="3"/>
        <v>2.7616909839386503</v>
      </c>
      <c r="O21" s="565"/>
      <c r="P21" s="571">
        <v>0</v>
      </c>
      <c r="Q21" s="565"/>
      <c r="R21" s="571">
        <v>0</v>
      </c>
      <c r="S21" s="565"/>
      <c r="T21" s="571">
        <v>0</v>
      </c>
      <c r="U21" s="565"/>
      <c r="V21" s="571">
        <v>0</v>
      </c>
      <c r="W21" s="136"/>
      <c r="X21" s="571">
        <v>0</v>
      </c>
      <c r="Y21" s="136"/>
      <c r="Z21" s="571">
        <v>0</v>
      </c>
      <c r="AA21" s="218"/>
      <c r="AB21" s="170">
        <f t="shared" si="5"/>
        <v>0</v>
      </c>
      <c r="AC21" s="173">
        <v>1055</v>
      </c>
      <c r="AD21" s="571">
        <v>0</v>
      </c>
      <c r="AE21" s="576">
        <f t="shared" si="6"/>
        <v>6775</v>
      </c>
    </row>
    <row r="22" spans="1:31" ht="9.75" customHeight="1">
      <c r="A22" s="564" t="s">
        <v>343</v>
      </c>
      <c r="B22" s="564" t="s">
        <v>331</v>
      </c>
      <c r="C22" s="568">
        <v>16</v>
      </c>
      <c r="D22" s="568">
        <v>396</v>
      </c>
      <c r="E22" s="51">
        <v>0.0058</v>
      </c>
      <c r="F22" s="54">
        <f t="shared" si="7"/>
        <v>5.840576912568013</v>
      </c>
      <c r="G22" s="102">
        <v>3.4</v>
      </c>
      <c r="H22" s="568">
        <v>1972</v>
      </c>
      <c r="I22" s="576">
        <v>6775</v>
      </c>
      <c r="J22" s="50">
        <f t="shared" si="1"/>
        <v>3.1202859363146844</v>
      </c>
      <c r="K22" s="54">
        <f t="shared" si="2"/>
        <v>3.271058814018244</v>
      </c>
      <c r="L22" s="107">
        <f t="shared" si="4"/>
        <v>3.4</v>
      </c>
      <c r="M22" s="575">
        <v>5720</v>
      </c>
      <c r="N22" s="147">
        <f t="shared" si="3"/>
        <v>2.7616909839386503</v>
      </c>
      <c r="O22" s="136"/>
      <c r="P22" s="571">
        <v>0</v>
      </c>
      <c r="Q22" s="565"/>
      <c r="R22" s="571">
        <v>0</v>
      </c>
      <c r="S22" s="565"/>
      <c r="T22" s="571">
        <v>0</v>
      </c>
      <c r="U22" s="565"/>
      <c r="V22" s="571">
        <v>0</v>
      </c>
      <c r="W22" s="136"/>
      <c r="X22" s="571">
        <v>0</v>
      </c>
      <c r="Y22" s="565"/>
      <c r="Z22" s="571">
        <v>0</v>
      </c>
      <c r="AA22" s="218"/>
      <c r="AB22" s="170">
        <f t="shared" si="5"/>
        <v>0</v>
      </c>
      <c r="AC22" s="173">
        <v>1055</v>
      </c>
      <c r="AD22" s="571">
        <v>0</v>
      </c>
      <c r="AE22" s="576">
        <f t="shared" si="6"/>
        <v>6775</v>
      </c>
    </row>
    <row r="23" spans="1:31" ht="9.75" customHeight="1">
      <c r="A23" s="669" t="s">
        <v>332</v>
      </c>
      <c r="B23" s="669"/>
      <c r="C23" s="568">
        <v>15</v>
      </c>
      <c r="D23" s="568">
        <v>282</v>
      </c>
      <c r="E23" s="51">
        <v>0.0058</v>
      </c>
      <c r="F23" s="54">
        <f t="shared" si="7"/>
        <v>4.91713899029394</v>
      </c>
      <c r="G23" s="102">
        <v>3.4</v>
      </c>
      <c r="H23" s="568">
        <v>1972</v>
      </c>
      <c r="I23" s="576">
        <v>6775</v>
      </c>
      <c r="J23" s="50">
        <f t="shared" si="1"/>
        <v>3.1202859363146844</v>
      </c>
      <c r="K23" s="54">
        <f t="shared" si="2"/>
        <v>3.271058814018244</v>
      </c>
      <c r="L23" s="107">
        <f t="shared" si="4"/>
        <v>3.4</v>
      </c>
      <c r="M23" s="575">
        <v>5720</v>
      </c>
      <c r="N23" s="147">
        <f t="shared" si="3"/>
        <v>2.7616909839386503</v>
      </c>
      <c r="O23" s="565"/>
      <c r="P23" s="571">
        <v>0</v>
      </c>
      <c r="Q23" s="565"/>
      <c r="R23" s="571">
        <v>0</v>
      </c>
      <c r="S23" s="565"/>
      <c r="T23" s="571">
        <v>0</v>
      </c>
      <c r="U23" s="565"/>
      <c r="V23" s="571">
        <v>0</v>
      </c>
      <c r="W23" s="565"/>
      <c r="X23" s="571">
        <v>0</v>
      </c>
      <c r="Y23" s="136"/>
      <c r="Z23" s="571">
        <v>0</v>
      </c>
      <c r="AA23" s="218"/>
      <c r="AB23" s="170">
        <f t="shared" si="5"/>
        <v>0</v>
      </c>
      <c r="AC23" s="173">
        <v>1055</v>
      </c>
      <c r="AD23" s="571">
        <v>0</v>
      </c>
      <c r="AE23" s="576">
        <f t="shared" si="6"/>
        <v>6775</v>
      </c>
    </row>
    <row r="24" spans="1:31" ht="9.75" customHeight="1">
      <c r="A24" s="267"/>
      <c r="B24" s="267"/>
      <c r="C24" s="568">
        <v>15</v>
      </c>
      <c r="D24" s="568">
        <v>228</v>
      </c>
      <c r="E24" s="51">
        <v>0.0058</v>
      </c>
      <c r="F24" s="54">
        <f t="shared" si="7"/>
        <v>4.91713899029394</v>
      </c>
      <c r="G24" s="102">
        <v>3.4</v>
      </c>
      <c r="H24" s="568">
        <v>1972</v>
      </c>
      <c r="I24" s="576">
        <v>6775</v>
      </c>
      <c r="J24" s="50">
        <f t="shared" si="1"/>
        <v>3.1202859363146844</v>
      </c>
      <c r="K24" s="54">
        <f t="shared" si="2"/>
        <v>3.271058814018244</v>
      </c>
      <c r="L24" s="107">
        <f t="shared" si="4"/>
        <v>3.4</v>
      </c>
      <c r="M24" s="575">
        <v>5720</v>
      </c>
      <c r="N24" s="147">
        <f t="shared" si="3"/>
        <v>2.7616909839386503</v>
      </c>
      <c r="O24" s="565"/>
      <c r="P24" s="571">
        <v>0</v>
      </c>
      <c r="Q24" s="565"/>
      <c r="R24" s="571">
        <v>0</v>
      </c>
      <c r="S24" s="565"/>
      <c r="T24" s="571">
        <v>0</v>
      </c>
      <c r="U24" s="565"/>
      <c r="V24" s="571">
        <v>0</v>
      </c>
      <c r="W24" s="565"/>
      <c r="X24" s="571">
        <v>0</v>
      </c>
      <c r="Y24" s="565"/>
      <c r="Z24" s="571">
        <v>0</v>
      </c>
      <c r="AA24" s="218"/>
      <c r="AB24" s="170">
        <f t="shared" si="5"/>
        <v>0</v>
      </c>
      <c r="AC24" s="173">
        <v>1055</v>
      </c>
      <c r="AD24" s="571">
        <v>0</v>
      </c>
      <c r="AE24" s="576">
        <f t="shared" si="6"/>
        <v>6775</v>
      </c>
    </row>
    <row r="25" spans="1:31" ht="9.75" customHeight="1">
      <c r="A25" s="267"/>
      <c r="B25" s="267"/>
      <c r="C25" s="568">
        <v>15</v>
      </c>
      <c r="D25" s="568">
        <v>300</v>
      </c>
      <c r="E25" s="51">
        <v>0.0058</v>
      </c>
      <c r="F25" s="54">
        <f t="shared" si="7"/>
        <v>4.91713899029394</v>
      </c>
      <c r="G25" s="102">
        <v>3.4</v>
      </c>
      <c r="H25" s="568">
        <v>1972</v>
      </c>
      <c r="I25" s="576">
        <v>6775</v>
      </c>
      <c r="J25" s="50">
        <f t="shared" si="1"/>
        <v>3.1202859363146844</v>
      </c>
      <c r="K25" s="54">
        <f t="shared" si="2"/>
        <v>3.271058814018244</v>
      </c>
      <c r="L25" s="107">
        <f t="shared" si="4"/>
        <v>3.4</v>
      </c>
      <c r="M25" s="575">
        <v>5720</v>
      </c>
      <c r="N25" s="147">
        <f t="shared" si="3"/>
        <v>2.7616909839386503</v>
      </c>
      <c r="O25" s="565"/>
      <c r="P25" s="571">
        <v>0</v>
      </c>
      <c r="Q25" s="565"/>
      <c r="R25" s="571">
        <v>0</v>
      </c>
      <c r="S25" s="565"/>
      <c r="T25" s="571">
        <v>0</v>
      </c>
      <c r="U25" s="565"/>
      <c r="V25" s="571">
        <v>0</v>
      </c>
      <c r="W25" s="565"/>
      <c r="X25" s="571">
        <v>0</v>
      </c>
      <c r="Y25" s="565"/>
      <c r="Z25" s="571">
        <v>0</v>
      </c>
      <c r="AA25" s="218"/>
      <c r="AB25" s="170">
        <f t="shared" si="5"/>
        <v>0</v>
      </c>
      <c r="AC25" s="173">
        <v>1055</v>
      </c>
      <c r="AD25" s="571">
        <v>0</v>
      </c>
      <c r="AE25" s="576">
        <f t="shared" si="6"/>
        <v>6775</v>
      </c>
    </row>
    <row r="26" spans="1:31" ht="9.75" customHeight="1">
      <c r="A26" s="267"/>
      <c r="B26" s="267"/>
      <c r="C26" s="568">
        <v>15</v>
      </c>
      <c r="D26" s="568">
        <v>292</v>
      </c>
      <c r="E26" s="51">
        <v>0.003</v>
      </c>
      <c r="F26" s="54">
        <f t="shared" si="7"/>
        <v>3.536381541223261</v>
      </c>
      <c r="G26" s="102">
        <v>3.4</v>
      </c>
      <c r="H26" s="568">
        <v>1972</v>
      </c>
      <c r="I26" s="576">
        <v>6775</v>
      </c>
      <c r="J26" s="50">
        <f t="shared" si="1"/>
        <v>3.1202859363146844</v>
      </c>
      <c r="K26" s="54">
        <f t="shared" si="2"/>
        <v>3.271058814018244</v>
      </c>
      <c r="L26" s="107">
        <f t="shared" si="4"/>
        <v>3.4</v>
      </c>
      <c r="M26" s="575">
        <v>5720</v>
      </c>
      <c r="N26" s="147">
        <f t="shared" si="3"/>
        <v>2.7616909839386503</v>
      </c>
      <c r="O26" s="565"/>
      <c r="P26" s="571">
        <v>0</v>
      </c>
      <c r="Q26" s="136"/>
      <c r="R26" s="571">
        <v>0</v>
      </c>
      <c r="S26" s="136"/>
      <c r="T26" s="571">
        <v>0</v>
      </c>
      <c r="U26" s="136"/>
      <c r="V26" s="571">
        <v>0</v>
      </c>
      <c r="W26" s="136"/>
      <c r="X26" s="571">
        <v>0</v>
      </c>
      <c r="Y26" s="565"/>
      <c r="Z26" s="571">
        <v>0</v>
      </c>
      <c r="AA26" s="218"/>
      <c r="AB26" s="170">
        <f t="shared" si="5"/>
        <v>0</v>
      </c>
      <c r="AC26" s="173">
        <v>1055</v>
      </c>
      <c r="AD26" s="571">
        <v>0</v>
      </c>
      <c r="AE26" s="576">
        <f t="shared" si="6"/>
        <v>6775</v>
      </c>
    </row>
    <row r="27" spans="1:31" ht="9.75" customHeight="1">
      <c r="A27" s="267"/>
      <c r="B27" s="267"/>
      <c r="C27" s="568">
        <v>15</v>
      </c>
      <c r="D27" s="568">
        <v>280</v>
      </c>
      <c r="E27" s="51">
        <v>0.003</v>
      </c>
      <c r="F27" s="54">
        <f t="shared" si="7"/>
        <v>3.536381541223261</v>
      </c>
      <c r="G27" s="102">
        <v>3.4</v>
      </c>
      <c r="H27" s="568">
        <v>1972</v>
      </c>
      <c r="I27" s="576">
        <v>6775</v>
      </c>
      <c r="J27" s="50">
        <f t="shared" si="1"/>
        <v>3.1202859363146844</v>
      </c>
      <c r="K27" s="54">
        <f t="shared" si="2"/>
        <v>3.271058814018244</v>
      </c>
      <c r="L27" s="107">
        <f t="shared" si="4"/>
        <v>3.4</v>
      </c>
      <c r="M27" s="575">
        <v>5720</v>
      </c>
      <c r="N27" s="147">
        <f t="shared" si="3"/>
        <v>2.7616909839386503</v>
      </c>
      <c r="O27" s="136"/>
      <c r="P27" s="571">
        <v>0</v>
      </c>
      <c r="Q27" s="565"/>
      <c r="R27" s="571">
        <v>0</v>
      </c>
      <c r="S27" s="565"/>
      <c r="T27" s="571">
        <v>0</v>
      </c>
      <c r="U27" s="565"/>
      <c r="V27" s="571">
        <v>0</v>
      </c>
      <c r="W27" s="136"/>
      <c r="X27" s="571">
        <v>0</v>
      </c>
      <c r="Y27" s="565"/>
      <c r="Z27" s="571">
        <v>0</v>
      </c>
      <c r="AA27" s="218"/>
      <c r="AB27" s="170">
        <f t="shared" si="5"/>
        <v>0</v>
      </c>
      <c r="AC27" s="173">
        <v>1055</v>
      </c>
      <c r="AD27" s="571">
        <v>0</v>
      </c>
      <c r="AE27" s="576">
        <f t="shared" si="6"/>
        <v>6775</v>
      </c>
    </row>
    <row r="28" spans="1:31" ht="9.75" customHeight="1">
      <c r="A28" s="267"/>
      <c r="B28" s="267"/>
      <c r="C28" s="568"/>
      <c r="D28" s="568"/>
      <c r="E28" s="51"/>
      <c r="F28" s="54"/>
      <c r="G28" s="102"/>
      <c r="H28" s="568"/>
      <c r="I28" s="576"/>
      <c r="J28" s="50"/>
      <c r="K28" s="54"/>
      <c r="L28" s="107"/>
      <c r="M28" s="575"/>
      <c r="N28" s="147"/>
      <c r="O28" s="136"/>
      <c r="P28" s="571"/>
      <c r="Q28" s="565"/>
      <c r="R28" s="571"/>
      <c r="S28" s="565"/>
      <c r="T28" s="571"/>
      <c r="U28" s="565"/>
      <c r="V28" s="571"/>
      <c r="W28" s="136"/>
      <c r="X28" s="571"/>
      <c r="Y28" s="565"/>
      <c r="Z28" s="571"/>
      <c r="AA28" s="218"/>
      <c r="AB28" s="170"/>
      <c r="AC28" s="173"/>
      <c r="AD28" s="571"/>
      <c r="AE28" s="576"/>
    </row>
    <row r="29" spans="1:31" ht="9.75" customHeight="1">
      <c r="A29" s="564" t="s">
        <v>333</v>
      </c>
      <c r="B29" s="564" t="s">
        <v>332</v>
      </c>
      <c r="C29" s="568">
        <v>15</v>
      </c>
      <c r="D29" s="568">
        <v>368</v>
      </c>
      <c r="E29" s="51">
        <v>0.006</v>
      </c>
      <c r="F29" s="54">
        <f aca="true" t="shared" si="8" ref="F29:F35">(1.486/0.013)*((3.14*($C29*$C29)/4)/144)*SQRT($E29)*POWER($C29/12/4,2/3)</f>
        <v>5.001198737323804</v>
      </c>
      <c r="G29" s="102">
        <v>4.44</v>
      </c>
      <c r="H29" s="568">
        <v>1967</v>
      </c>
      <c r="I29" s="576">
        <v>13698</v>
      </c>
      <c r="J29" s="50">
        <f t="shared" si="1"/>
        <v>2.817926618306596</v>
      </c>
      <c r="K29" s="54">
        <f t="shared" si="2"/>
        <v>5.972710997469139</v>
      </c>
      <c r="L29" s="107">
        <f t="shared" si="4"/>
        <v>4.44</v>
      </c>
      <c r="M29" s="575">
        <v>12643</v>
      </c>
      <c r="N29" s="147">
        <f t="shared" si="3"/>
        <v>5.51270149956215</v>
      </c>
      <c r="O29" s="136"/>
      <c r="P29" s="571">
        <v>0</v>
      </c>
      <c r="Q29" s="136"/>
      <c r="R29" s="571">
        <v>0</v>
      </c>
      <c r="S29" s="136"/>
      <c r="T29" s="571">
        <v>0</v>
      </c>
      <c r="U29" s="136"/>
      <c r="V29" s="571">
        <v>0</v>
      </c>
      <c r="W29" s="136"/>
      <c r="X29" s="571">
        <v>0</v>
      </c>
      <c r="Y29" s="136"/>
      <c r="Z29" s="571">
        <v>0</v>
      </c>
      <c r="AA29" s="218"/>
      <c r="AB29" s="170">
        <f>J29*100*AA29/(7.48*24*60*60)</f>
        <v>0</v>
      </c>
      <c r="AC29" s="173">
        <v>1055</v>
      </c>
      <c r="AD29" s="571">
        <v>0</v>
      </c>
      <c r="AE29" s="576">
        <f t="shared" si="6"/>
        <v>13698</v>
      </c>
    </row>
    <row r="30" spans="1:31" ht="9.75" customHeight="1">
      <c r="A30" s="267"/>
      <c r="B30" s="267"/>
      <c r="C30" s="568">
        <v>18</v>
      </c>
      <c r="D30" s="568">
        <v>368</v>
      </c>
      <c r="E30" s="51">
        <v>0.0024</v>
      </c>
      <c r="F30" s="54">
        <f t="shared" si="8"/>
        <v>5.1434449738723025</v>
      </c>
      <c r="G30" s="102">
        <v>4.44</v>
      </c>
      <c r="H30" s="568">
        <v>1967</v>
      </c>
      <c r="I30" s="576">
        <v>13698</v>
      </c>
      <c r="J30" s="50">
        <f t="shared" si="1"/>
        <v>2.817926618306596</v>
      </c>
      <c r="K30" s="54">
        <f t="shared" si="2"/>
        <v>5.972710997469139</v>
      </c>
      <c r="L30" s="107">
        <f t="shared" si="4"/>
        <v>4.44</v>
      </c>
      <c r="M30" s="575">
        <v>12643</v>
      </c>
      <c r="N30" s="147">
        <f t="shared" si="3"/>
        <v>5.51270149956215</v>
      </c>
      <c r="O30" s="136"/>
      <c r="P30" s="571">
        <v>0</v>
      </c>
      <c r="Q30" s="136"/>
      <c r="R30" s="571">
        <v>0</v>
      </c>
      <c r="S30" s="136"/>
      <c r="T30" s="571">
        <v>0</v>
      </c>
      <c r="U30" s="565"/>
      <c r="V30" s="571">
        <v>0</v>
      </c>
      <c r="W30" s="565"/>
      <c r="X30" s="571">
        <v>0</v>
      </c>
      <c r="Y30" s="136"/>
      <c r="Z30" s="571">
        <v>0</v>
      </c>
      <c r="AA30" s="218"/>
      <c r="AB30" s="170">
        <f t="shared" si="5"/>
        <v>0</v>
      </c>
      <c r="AC30" s="173">
        <v>1055</v>
      </c>
      <c r="AD30" s="571">
        <v>0</v>
      </c>
      <c r="AE30" s="576">
        <f t="shared" si="6"/>
        <v>13698</v>
      </c>
    </row>
    <row r="31" spans="1:31" ht="9.75" customHeight="1">
      <c r="A31" s="267"/>
      <c r="B31" s="267"/>
      <c r="C31" s="568">
        <v>18</v>
      </c>
      <c r="D31" s="568">
        <v>368</v>
      </c>
      <c r="E31" s="51">
        <v>0.0024</v>
      </c>
      <c r="F31" s="54">
        <f t="shared" si="8"/>
        <v>5.1434449738723025</v>
      </c>
      <c r="G31" s="102">
        <v>4.44</v>
      </c>
      <c r="H31" s="568">
        <v>1967</v>
      </c>
      <c r="I31" s="576">
        <v>13698</v>
      </c>
      <c r="J31" s="50">
        <f t="shared" si="1"/>
        <v>2.817926618306596</v>
      </c>
      <c r="K31" s="54">
        <f t="shared" si="2"/>
        <v>5.972710997469139</v>
      </c>
      <c r="L31" s="107">
        <f t="shared" si="4"/>
        <v>4.44</v>
      </c>
      <c r="M31" s="575">
        <v>12643</v>
      </c>
      <c r="N31" s="147">
        <f t="shared" si="3"/>
        <v>5.51270149956215</v>
      </c>
      <c r="O31" s="136"/>
      <c r="P31" s="571">
        <v>0</v>
      </c>
      <c r="Q31" s="565"/>
      <c r="R31" s="571">
        <v>0</v>
      </c>
      <c r="S31" s="565"/>
      <c r="T31" s="571">
        <v>0</v>
      </c>
      <c r="U31" s="565"/>
      <c r="V31" s="571">
        <v>0</v>
      </c>
      <c r="W31" s="565"/>
      <c r="X31" s="571">
        <v>0</v>
      </c>
      <c r="Y31" s="136"/>
      <c r="Z31" s="571">
        <v>0</v>
      </c>
      <c r="AA31" s="218"/>
      <c r="AB31" s="170">
        <f t="shared" si="5"/>
        <v>0</v>
      </c>
      <c r="AC31" s="173">
        <v>1055</v>
      </c>
      <c r="AD31" s="571">
        <v>0</v>
      </c>
      <c r="AE31" s="576">
        <f t="shared" si="6"/>
        <v>13698</v>
      </c>
    </row>
    <row r="32" spans="1:31" ht="9.75" customHeight="1">
      <c r="A32" s="564" t="s">
        <v>260</v>
      </c>
      <c r="B32" s="564" t="s">
        <v>333</v>
      </c>
      <c r="C32" s="568">
        <v>18</v>
      </c>
      <c r="D32" s="568">
        <v>332</v>
      </c>
      <c r="E32" s="51">
        <v>0.0024</v>
      </c>
      <c r="F32" s="54">
        <f t="shared" si="8"/>
        <v>5.1434449738723025</v>
      </c>
      <c r="G32" s="102">
        <v>6.24</v>
      </c>
      <c r="H32" s="568">
        <v>1967</v>
      </c>
      <c r="I32" s="576">
        <v>13698</v>
      </c>
      <c r="J32" s="50">
        <f t="shared" si="1"/>
        <v>2.817926618306596</v>
      </c>
      <c r="K32" s="54">
        <f t="shared" si="2"/>
        <v>5.972710997469139</v>
      </c>
      <c r="L32" s="107">
        <f t="shared" si="4"/>
        <v>6.24</v>
      </c>
      <c r="M32" s="575">
        <v>12643</v>
      </c>
      <c r="N32" s="147">
        <f t="shared" si="3"/>
        <v>5.51270149956215</v>
      </c>
      <c r="O32" s="565"/>
      <c r="P32" s="571">
        <v>0</v>
      </c>
      <c r="Q32" s="565"/>
      <c r="R32" s="571">
        <v>0</v>
      </c>
      <c r="S32" s="565"/>
      <c r="T32" s="571">
        <v>0</v>
      </c>
      <c r="U32" s="565"/>
      <c r="V32" s="571">
        <v>0</v>
      </c>
      <c r="W32" s="136"/>
      <c r="X32" s="571">
        <v>0</v>
      </c>
      <c r="Y32" s="136"/>
      <c r="Z32" s="571">
        <v>0</v>
      </c>
      <c r="AA32" s="218"/>
      <c r="AB32" s="170">
        <f t="shared" si="5"/>
        <v>0</v>
      </c>
      <c r="AC32" s="173">
        <v>1055</v>
      </c>
      <c r="AD32" s="571">
        <v>0</v>
      </c>
      <c r="AE32" s="576">
        <f t="shared" si="6"/>
        <v>13698</v>
      </c>
    </row>
    <row r="33" spans="1:31" ht="9.75" customHeight="1">
      <c r="A33" s="267"/>
      <c r="B33" s="267"/>
      <c r="C33" s="568">
        <v>18</v>
      </c>
      <c r="D33" s="568">
        <v>350</v>
      </c>
      <c r="E33" s="51">
        <v>0.0024</v>
      </c>
      <c r="F33" s="54">
        <f t="shared" si="8"/>
        <v>5.1434449738723025</v>
      </c>
      <c r="G33" s="102">
        <v>6.24</v>
      </c>
      <c r="H33" s="568">
        <v>1967</v>
      </c>
      <c r="I33" s="576">
        <v>13698</v>
      </c>
      <c r="J33" s="50">
        <f t="shared" si="1"/>
        <v>2.817926618306596</v>
      </c>
      <c r="K33" s="54">
        <f t="shared" si="2"/>
        <v>5.972710997469139</v>
      </c>
      <c r="L33" s="107">
        <f t="shared" si="4"/>
        <v>6.24</v>
      </c>
      <c r="M33" s="575">
        <v>12643</v>
      </c>
      <c r="N33" s="147">
        <f t="shared" si="3"/>
        <v>5.51270149956215</v>
      </c>
      <c r="O33" s="136"/>
      <c r="P33" s="571">
        <v>0</v>
      </c>
      <c r="Q33" s="136"/>
      <c r="R33" s="571">
        <v>0</v>
      </c>
      <c r="S33" s="136"/>
      <c r="T33" s="571">
        <v>0</v>
      </c>
      <c r="U33" s="136"/>
      <c r="V33" s="571">
        <v>0</v>
      </c>
      <c r="W33" s="565"/>
      <c r="X33" s="571">
        <v>0</v>
      </c>
      <c r="Y33" s="136"/>
      <c r="Z33" s="571">
        <v>0</v>
      </c>
      <c r="AA33" s="218"/>
      <c r="AB33" s="170">
        <f t="shared" si="5"/>
        <v>0</v>
      </c>
      <c r="AC33" s="173">
        <v>1055</v>
      </c>
      <c r="AD33" s="571">
        <v>0</v>
      </c>
      <c r="AE33" s="576">
        <f t="shared" si="6"/>
        <v>13698</v>
      </c>
    </row>
    <row r="34" spans="1:31" ht="9.75" customHeight="1">
      <c r="A34" s="267"/>
      <c r="B34" s="267"/>
      <c r="C34" s="568">
        <v>18</v>
      </c>
      <c r="D34" s="568">
        <v>350</v>
      </c>
      <c r="E34" s="51">
        <v>0.0025</v>
      </c>
      <c r="F34" s="54">
        <f t="shared" si="8"/>
        <v>5.249506544195791</v>
      </c>
      <c r="G34" s="102" t="s">
        <v>334</v>
      </c>
      <c r="H34" s="568">
        <v>1967</v>
      </c>
      <c r="I34" s="576">
        <v>13698</v>
      </c>
      <c r="J34" s="50">
        <f t="shared" si="1"/>
        <v>2.817926618306596</v>
      </c>
      <c r="K34" s="54">
        <f t="shared" si="2"/>
        <v>5.972710997469139</v>
      </c>
      <c r="L34" s="107" t="str">
        <f t="shared" si="4"/>
        <v>S.24</v>
      </c>
      <c r="M34" s="575">
        <v>12643</v>
      </c>
      <c r="N34" s="147">
        <f t="shared" si="3"/>
        <v>5.51270149956215</v>
      </c>
      <c r="O34" s="565"/>
      <c r="P34" s="571">
        <v>0</v>
      </c>
      <c r="Q34" s="565"/>
      <c r="R34" s="571">
        <v>0</v>
      </c>
      <c r="S34" s="565"/>
      <c r="T34" s="571">
        <v>0</v>
      </c>
      <c r="U34" s="136"/>
      <c r="V34" s="571">
        <v>0</v>
      </c>
      <c r="W34" s="565"/>
      <c r="X34" s="571">
        <v>0</v>
      </c>
      <c r="Y34" s="565"/>
      <c r="Z34" s="571">
        <v>0</v>
      </c>
      <c r="AA34" s="218"/>
      <c r="AB34" s="170">
        <f t="shared" si="5"/>
        <v>0</v>
      </c>
      <c r="AC34" s="173">
        <v>1055</v>
      </c>
      <c r="AD34" s="571">
        <v>0</v>
      </c>
      <c r="AE34" s="576">
        <f t="shared" si="6"/>
        <v>13698</v>
      </c>
    </row>
    <row r="35" spans="1:31" ht="9.75" customHeight="1">
      <c r="A35" s="267"/>
      <c r="B35" s="267"/>
      <c r="C35" s="568">
        <v>16</v>
      </c>
      <c r="D35" s="568">
        <v>29</v>
      </c>
      <c r="E35" s="51">
        <v>0.0025</v>
      </c>
      <c r="F35" s="54">
        <f t="shared" si="8"/>
        <v>3.834526601160787</v>
      </c>
      <c r="G35" s="102">
        <v>6.24</v>
      </c>
      <c r="H35" s="568">
        <v>1967</v>
      </c>
      <c r="I35" s="576">
        <v>13698</v>
      </c>
      <c r="J35" s="50">
        <f t="shared" si="1"/>
        <v>2.817926618306596</v>
      </c>
      <c r="K35" s="54">
        <f t="shared" si="2"/>
        <v>5.972710997469139</v>
      </c>
      <c r="L35" s="107">
        <f t="shared" si="4"/>
        <v>6.24</v>
      </c>
      <c r="M35" s="575">
        <v>12643</v>
      </c>
      <c r="N35" s="147">
        <f t="shared" si="3"/>
        <v>5.51270149956215</v>
      </c>
      <c r="O35" s="136"/>
      <c r="P35" s="571">
        <v>0</v>
      </c>
      <c r="Q35" s="136"/>
      <c r="R35" s="571">
        <v>0</v>
      </c>
      <c r="S35" s="136"/>
      <c r="T35" s="571">
        <v>0</v>
      </c>
      <c r="U35" s="136"/>
      <c r="V35" s="571">
        <v>0</v>
      </c>
      <c r="W35" s="565"/>
      <c r="X35" s="571">
        <v>0</v>
      </c>
      <c r="Y35" s="136"/>
      <c r="Z35" s="571">
        <v>0</v>
      </c>
      <c r="AA35" s="218"/>
      <c r="AB35" s="170">
        <f t="shared" si="5"/>
        <v>0</v>
      </c>
      <c r="AC35" s="173">
        <v>1055</v>
      </c>
      <c r="AD35" s="571">
        <v>0</v>
      </c>
      <c r="AE35" s="576">
        <f t="shared" si="6"/>
        <v>13698</v>
      </c>
    </row>
    <row r="36" spans="1:31" ht="9.75" customHeight="1">
      <c r="A36" s="267"/>
      <c r="B36" s="267"/>
      <c r="C36" s="568"/>
      <c r="D36" s="568"/>
      <c r="E36" s="51"/>
      <c r="F36" s="54"/>
      <c r="G36" s="102"/>
      <c r="H36" s="568"/>
      <c r="I36" s="576"/>
      <c r="J36" s="50"/>
      <c r="K36" s="54"/>
      <c r="L36" s="107"/>
      <c r="M36" s="575"/>
      <c r="N36" s="147"/>
      <c r="O36" s="136"/>
      <c r="P36" s="571"/>
      <c r="Q36" s="136"/>
      <c r="R36" s="571"/>
      <c r="S36" s="136"/>
      <c r="T36" s="571"/>
      <c r="U36" s="136"/>
      <c r="V36" s="571"/>
      <c r="W36" s="565"/>
      <c r="X36" s="571"/>
      <c r="Y36" s="136"/>
      <c r="Z36" s="571"/>
      <c r="AA36" s="218"/>
      <c r="AB36" s="170"/>
      <c r="AC36" s="173"/>
      <c r="AD36" s="571"/>
      <c r="AE36" s="576"/>
    </row>
    <row r="37" spans="1:31" ht="9.75" customHeight="1">
      <c r="A37" s="564" t="s">
        <v>335</v>
      </c>
      <c r="B37" s="564" t="s">
        <v>260</v>
      </c>
      <c r="C37" s="568">
        <v>21</v>
      </c>
      <c r="D37" s="568">
        <v>448</v>
      </c>
      <c r="E37" s="51">
        <v>0.002</v>
      </c>
      <c r="F37" s="54">
        <f aca="true" t="shared" si="9" ref="F37:F42">(1.486/0.013)*((3.14*($C37*$C37)/4)/144)*SQRT($E37)*POWER($C37/12/4,2/3)</f>
        <v>7.082527138520588</v>
      </c>
      <c r="G37" s="102">
        <v>6.24</v>
      </c>
      <c r="H37" s="568">
        <v>1967</v>
      </c>
      <c r="I37" s="576">
        <v>13698</v>
      </c>
      <c r="J37" s="50">
        <f t="shared" si="1"/>
        <v>2.817926618306596</v>
      </c>
      <c r="K37" s="54">
        <f t="shared" si="2"/>
        <v>5.972710997469139</v>
      </c>
      <c r="L37" s="107">
        <f t="shared" si="4"/>
        <v>6.24</v>
      </c>
      <c r="M37" s="575">
        <v>12643</v>
      </c>
      <c r="N37" s="147">
        <f t="shared" si="3"/>
        <v>5.51270149956215</v>
      </c>
      <c r="O37" s="136"/>
      <c r="P37" s="571">
        <v>0</v>
      </c>
      <c r="Q37" s="565"/>
      <c r="R37" s="571">
        <v>0</v>
      </c>
      <c r="S37" s="565"/>
      <c r="T37" s="571">
        <v>0</v>
      </c>
      <c r="U37" s="565"/>
      <c r="V37" s="571">
        <v>0</v>
      </c>
      <c r="W37" s="565"/>
      <c r="X37" s="571">
        <v>0</v>
      </c>
      <c r="Y37" s="565"/>
      <c r="Z37" s="571">
        <v>0</v>
      </c>
      <c r="AA37" s="218"/>
      <c r="AB37" s="170">
        <f t="shared" si="5"/>
        <v>0</v>
      </c>
      <c r="AC37" s="173">
        <v>1055</v>
      </c>
      <c r="AD37" s="571">
        <v>0</v>
      </c>
      <c r="AE37" s="576">
        <f t="shared" si="6"/>
        <v>13698</v>
      </c>
    </row>
    <row r="38" spans="1:31" ht="9.75" customHeight="1">
      <c r="A38" s="564" t="s">
        <v>336</v>
      </c>
      <c r="B38" s="564" t="s">
        <v>335</v>
      </c>
      <c r="C38" s="568">
        <v>21</v>
      </c>
      <c r="D38" s="568">
        <v>242</v>
      </c>
      <c r="E38" s="51">
        <v>0.0024</v>
      </c>
      <c r="F38" s="54">
        <f t="shared" si="9"/>
        <v>7.758519755820483</v>
      </c>
      <c r="G38" s="102">
        <v>6.24</v>
      </c>
      <c r="H38" s="568">
        <v>1967</v>
      </c>
      <c r="I38" s="576">
        <f>I$40</f>
        <v>13698</v>
      </c>
      <c r="J38" s="50">
        <f t="shared" si="1"/>
        <v>2.817926618306596</v>
      </c>
      <c r="K38" s="54">
        <f t="shared" si="2"/>
        <v>5.972710997469139</v>
      </c>
      <c r="L38" s="107">
        <f t="shared" si="4"/>
        <v>6.24</v>
      </c>
      <c r="M38" s="575">
        <f>M$40</f>
        <v>12643</v>
      </c>
      <c r="N38" s="147">
        <f t="shared" si="3"/>
        <v>5.51270149956215</v>
      </c>
      <c r="O38" s="565"/>
      <c r="P38" s="571">
        <v>0</v>
      </c>
      <c r="Q38" s="565"/>
      <c r="R38" s="571">
        <v>0</v>
      </c>
      <c r="S38" s="565"/>
      <c r="T38" s="571">
        <v>0</v>
      </c>
      <c r="U38" s="565"/>
      <c r="V38" s="571">
        <v>0</v>
      </c>
      <c r="W38" s="565"/>
      <c r="X38" s="571">
        <v>0</v>
      </c>
      <c r="Y38" s="565"/>
      <c r="Z38" s="571">
        <v>0</v>
      </c>
      <c r="AA38" s="218"/>
      <c r="AB38" s="170">
        <f t="shared" si="5"/>
        <v>0</v>
      </c>
      <c r="AC38" s="173">
        <v>1055</v>
      </c>
      <c r="AD38" s="571">
        <v>0</v>
      </c>
      <c r="AE38" s="576">
        <f t="shared" si="6"/>
        <v>13698</v>
      </c>
    </row>
    <row r="39" spans="1:31" ht="9.75" customHeight="1">
      <c r="A39" s="267"/>
      <c r="B39" s="267"/>
      <c r="C39" s="568">
        <v>21</v>
      </c>
      <c r="D39" s="568">
        <v>257</v>
      </c>
      <c r="E39" s="51">
        <v>0.0024</v>
      </c>
      <c r="F39" s="54">
        <f t="shared" si="9"/>
        <v>7.758519755820483</v>
      </c>
      <c r="G39" s="102" t="s">
        <v>334</v>
      </c>
      <c r="H39" s="568">
        <v>1957</v>
      </c>
      <c r="I39" s="576">
        <f>I$40</f>
        <v>13698</v>
      </c>
      <c r="J39" s="50">
        <f t="shared" si="1"/>
        <v>2.817926618306596</v>
      </c>
      <c r="K39" s="54">
        <f t="shared" si="2"/>
        <v>5.972710997469139</v>
      </c>
      <c r="L39" s="107" t="str">
        <f t="shared" si="4"/>
        <v>S.24</v>
      </c>
      <c r="M39" s="575">
        <f>M$40</f>
        <v>12643</v>
      </c>
      <c r="N39" s="147">
        <f t="shared" si="3"/>
        <v>5.51270149956215</v>
      </c>
      <c r="O39" s="565"/>
      <c r="P39" s="571">
        <v>0</v>
      </c>
      <c r="Q39" s="565"/>
      <c r="R39" s="571">
        <v>0</v>
      </c>
      <c r="S39" s="565"/>
      <c r="T39" s="571">
        <v>0</v>
      </c>
      <c r="U39" s="565"/>
      <c r="V39" s="571">
        <v>0</v>
      </c>
      <c r="W39" s="565"/>
      <c r="X39" s="571">
        <v>0</v>
      </c>
      <c r="Y39" s="565"/>
      <c r="Z39" s="571">
        <v>0</v>
      </c>
      <c r="AA39" s="218"/>
      <c r="AB39" s="170">
        <f t="shared" si="5"/>
        <v>0</v>
      </c>
      <c r="AC39" s="173">
        <v>1055</v>
      </c>
      <c r="AD39" s="571">
        <v>0</v>
      </c>
      <c r="AE39" s="576">
        <f t="shared" si="6"/>
        <v>13698</v>
      </c>
    </row>
    <row r="40" spans="1:31" ht="9.75" customHeight="1">
      <c r="A40" s="267"/>
      <c r="B40" s="267"/>
      <c r="C40" s="568">
        <v>21</v>
      </c>
      <c r="D40" s="568">
        <v>356</v>
      </c>
      <c r="E40" s="51">
        <v>0.0024</v>
      </c>
      <c r="F40" s="54">
        <f t="shared" si="9"/>
        <v>7.758519755820483</v>
      </c>
      <c r="G40" s="102">
        <v>6.24</v>
      </c>
      <c r="H40" s="568">
        <v>1967</v>
      </c>
      <c r="I40" s="576">
        <v>13698</v>
      </c>
      <c r="J40" s="50">
        <f t="shared" si="1"/>
        <v>2.817926618306596</v>
      </c>
      <c r="K40" s="54">
        <f t="shared" si="2"/>
        <v>5.972710997469139</v>
      </c>
      <c r="L40" s="107">
        <f t="shared" si="4"/>
        <v>6.24</v>
      </c>
      <c r="M40" s="575">
        <v>12643</v>
      </c>
      <c r="N40" s="147">
        <f t="shared" si="3"/>
        <v>5.51270149956215</v>
      </c>
      <c r="O40" s="136"/>
      <c r="P40" s="571">
        <v>0</v>
      </c>
      <c r="Q40" s="565"/>
      <c r="R40" s="571">
        <v>0</v>
      </c>
      <c r="S40" s="565"/>
      <c r="T40" s="571">
        <v>0</v>
      </c>
      <c r="U40" s="565"/>
      <c r="V40" s="571">
        <v>0</v>
      </c>
      <c r="W40" s="565"/>
      <c r="X40" s="571">
        <v>0</v>
      </c>
      <c r="Y40" s="565"/>
      <c r="Z40" s="571">
        <v>0</v>
      </c>
      <c r="AA40" s="218"/>
      <c r="AB40" s="170">
        <f t="shared" si="5"/>
        <v>0</v>
      </c>
      <c r="AC40" s="173">
        <v>1055</v>
      </c>
      <c r="AD40" s="571">
        <v>0</v>
      </c>
      <c r="AE40" s="576">
        <f t="shared" si="6"/>
        <v>13698</v>
      </c>
    </row>
    <row r="41" spans="1:31" ht="9.75" customHeight="1">
      <c r="A41" s="267"/>
      <c r="B41" s="267"/>
      <c r="C41" s="568">
        <v>21</v>
      </c>
      <c r="D41" s="568">
        <v>400</v>
      </c>
      <c r="E41" s="51">
        <v>0.0024</v>
      </c>
      <c r="F41" s="54">
        <f t="shared" si="9"/>
        <v>7.758519755820483</v>
      </c>
      <c r="G41" s="102">
        <v>6.24</v>
      </c>
      <c r="H41" s="568">
        <v>1967</v>
      </c>
      <c r="I41" s="576">
        <v>13698</v>
      </c>
      <c r="J41" s="50">
        <f t="shared" si="1"/>
        <v>2.817926618306596</v>
      </c>
      <c r="K41" s="54">
        <f t="shared" si="2"/>
        <v>5.972710997469139</v>
      </c>
      <c r="L41" s="107">
        <f t="shared" si="4"/>
        <v>6.24</v>
      </c>
      <c r="M41" s="575">
        <v>12643</v>
      </c>
      <c r="N41" s="147">
        <f t="shared" si="3"/>
        <v>5.51270149956215</v>
      </c>
      <c r="O41" s="565"/>
      <c r="P41" s="571">
        <v>0</v>
      </c>
      <c r="Q41" s="136"/>
      <c r="R41" s="571">
        <v>0</v>
      </c>
      <c r="S41" s="136"/>
      <c r="T41" s="571">
        <v>0</v>
      </c>
      <c r="U41" s="136"/>
      <c r="V41" s="571">
        <v>0</v>
      </c>
      <c r="W41" s="136"/>
      <c r="X41" s="571">
        <v>0</v>
      </c>
      <c r="Y41" s="136"/>
      <c r="Z41" s="571">
        <v>0</v>
      </c>
      <c r="AA41" s="218"/>
      <c r="AB41" s="170">
        <f t="shared" si="5"/>
        <v>0</v>
      </c>
      <c r="AC41" s="173">
        <v>1055</v>
      </c>
      <c r="AD41" s="571">
        <v>0</v>
      </c>
      <c r="AE41" s="576">
        <f t="shared" si="6"/>
        <v>13698</v>
      </c>
    </row>
    <row r="42" spans="1:31" ht="9.75" customHeight="1">
      <c r="A42" s="267"/>
      <c r="B42" s="267"/>
      <c r="C42" s="568">
        <v>21</v>
      </c>
      <c r="D42" s="568">
        <v>42</v>
      </c>
      <c r="E42" s="51">
        <v>0.0025</v>
      </c>
      <c r="F42" s="54">
        <f t="shared" si="9"/>
        <v>7.9185060671095515</v>
      </c>
      <c r="G42" s="102">
        <v>6.24</v>
      </c>
      <c r="H42" s="568">
        <v>1967</v>
      </c>
      <c r="I42" s="576">
        <v>13698</v>
      </c>
      <c r="J42" s="50">
        <f t="shared" si="1"/>
        <v>2.817926618306596</v>
      </c>
      <c r="K42" s="54">
        <f t="shared" si="2"/>
        <v>5.972710997469139</v>
      </c>
      <c r="L42" s="107">
        <f t="shared" si="4"/>
        <v>6.24</v>
      </c>
      <c r="M42" s="575">
        <v>12643</v>
      </c>
      <c r="N42" s="147">
        <f t="shared" si="3"/>
        <v>5.51270149956215</v>
      </c>
      <c r="O42" s="565"/>
      <c r="P42" s="571">
        <v>0</v>
      </c>
      <c r="Q42" s="136"/>
      <c r="R42" s="571">
        <v>0</v>
      </c>
      <c r="S42" s="136"/>
      <c r="T42" s="571">
        <v>0</v>
      </c>
      <c r="U42" s="565"/>
      <c r="V42" s="571">
        <v>0</v>
      </c>
      <c r="W42" s="136"/>
      <c r="X42" s="571">
        <v>0</v>
      </c>
      <c r="Y42" s="136"/>
      <c r="Z42" s="571">
        <v>0</v>
      </c>
      <c r="AA42" s="218"/>
      <c r="AB42" s="170">
        <f t="shared" si="5"/>
        <v>0</v>
      </c>
      <c r="AC42" s="173">
        <v>1055</v>
      </c>
      <c r="AD42" s="571">
        <v>0</v>
      </c>
      <c r="AE42" s="576">
        <f t="shared" si="6"/>
        <v>13698</v>
      </c>
    </row>
    <row r="43" spans="1:31" ht="9.75" customHeight="1">
      <c r="A43" s="267"/>
      <c r="B43" s="267"/>
      <c r="C43" s="568"/>
      <c r="D43" s="568"/>
      <c r="E43" s="51"/>
      <c r="F43" s="54"/>
      <c r="G43" s="102"/>
      <c r="H43" s="568"/>
      <c r="I43" s="576"/>
      <c r="J43" s="50"/>
      <c r="K43" s="54"/>
      <c r="L43" s="107"/>
      <c r="M43" s="575"/>
      <c r="N43" s="147"/>
      <c r="O43" s="565"/>
      <c r="P43" s="571"/>
      <c r="Q43" s="136"/>
      <c r="R43" s="571"/>
      <c r="S43" s="136"/>
      <c r="T43" s="571"/>
      <c r="U43" s="565"/>
      <c r="V43" s="571"/>
      <c r="W43" s="136"/>
      <c r="X43" s="571"/>
      <c r="Y43" s="136"/>
      <c r="Z43" s="571"/>
      <c r="AA43" s="218"/>
      <c r="AB43" s="170"/>
      <c r="AC43" s="173"/>
      <c r="AD43" s="571"/>
      <c r="AE43" s="576"/>
    </row>
    <row r="44" spans="1:31" ht="9.75" customHeight="1">
      <c r="A44" s="564" t="s">
        <v>337</v>
      </c>
      <c r="B44" s="564" t="s">
        <v>338</v>
      </c>
      <c r="C44" s="568">
        <v>21</v>
      </c>
      <c r="D44" s="568">
        <v>407</v>
      </c>
      <c r="E44" s="51">
        <v>0.0025</v>
      </c>
      <c r="F44" s="54">
        <f aca="true" t="shared" si="10" ref="F44:F57">(1.486/0.013)*((3.14*($C44*$C44)/4)/144)*SQRT($E44)*POWER($C44/12/4,2/3)</f>
        <v>7.9185060671095515</v>
      </c>
      <c r="G44" s="102">
        <v>7.61</v>
      </c>
      <c r="H44" s="568">
        <v>1967</v>
      </c>
      <c r="I44" s="576">
        <v>17571</v>
      </c>
      <c r="J44" s="50">
        <f t="shared" si="1"/>
        <v>2.709030758774968</v>
      </c>
      <c r="K44" s="54">
        <f t="shared" si="2"/>
        <v>7.3653785809125205</v>
      </c>
      <c r="L44" s="107">
        <f t="shared" si="4"/>
        <v>7.61</v>
      </c>
      <c r="M44" s="575">
        <f>M$46</f>
        <v>16516</v>
      </c>
      <c r="N44" s="147">
        <f t="shared" si="3"/>
        <v>6.923145674255944</v>
      </c>
      <c r="O44" s="136"/>
      <c r="P44" s="571">
        <v>0</v>
      </c>
      <c r="Q44" s="136"/>
      <c r="R44" s="571">
        <v>0</v>
      </c>
      <c r="S44" s="136"/>
      <c r="T44" s="571">
        <v>0</v>
      </c>
      <c r="U44" s="136"/>
      <c r="V44" s="571">
        <v>0</v>
      </c>
      <c r="W44" s="136"/>
      <c r="X44" s="571">
        <v>0</v>
      </c>
      <c r="Y44" s="136"/>
      <c r="Z44" s="571">
        <v>0</v>
      </c>
      <c r="AA44" s="218"/>
      <c r="AB44" s="170">
        <f t="shared" si="5"/>
        <v>0</v>
      </c>
      <c r="AC44" s="173">
        <v>1055</v>
      </c>
      <c r="AD44" s="571">
        <v>0</v>
      </c>
      <c r="AE44" s="576">
        <f t="shared" si="6"/>
        <v>17571</v>
      </c>
    </row>
    <row r="45" spans="1:31" ht="9.75" customHeight="1">
      <c r="A45" s="267"/>
      <c r="B45" s="267"/>
      <c r="C45" s="568">
        <v>21</v>
      </c>
      <c r="D45" s="568">
        <v>400</v>
      </c>
      <c r="E45" s="51">
        <v>0.0025</v>
      </c>
      <c r="F45" s="54">
        <f t="shared" si="10"/>
        <v>7.9185060671095515</v>
      </c>
      <c r="G45" s="102">
        <v>7.61</v>
      </c>
      <c r="H45" s="568">
        <v>1967</v>
      </c>
      <c r="I45" s="576">
        <v>17571</v>
      </c>
      <c r="J45" s="50">
        <f t="shared" si="1"/>
        <v>2.709030758774968</v>
      </c>
      <c r="K45" s="54">
        <f t="shared" si="2"/>
        <v>7.3653785809125205</v>
      </c>
      <c r="L45" s="107">
        <f t="shared" si="4"/>
        <v>7.61</v>
      </c>
      <c r="M45" s="575">
        <f>M$46</f>
        <v>16516</v>
      </c>
      <c r="N45" s="147">
        <f t="shared" si="3"/>
        <v>6.923145674255944</v>
      </c>
      <c r="O45" s="136"/>
      <c r="P45" s="571">
        <v>0</v>
      </c>
      <c r="Q45" s="136"/>
      <c r="R45" s="571">
        <v>0</v>
      </c>
      <c r="S45" s="136"/>
      <c r="T45" s="571">
        <v>0</v>
      </c>
      <c r="U45" s="136"/>
      <c r="V45" s="571">
        <v>0</v>
      </c>
      <c r="W45" s="136"/>
      <c r="X45" s="571">
        <v>0</v>
      </c>
      <c r="Y45" s="136"/>
      <c r="Z45" s="571">
        <v>0</v>
      </c>
      <c r="AA45" s="218"/>
      <c r="AB45" s="170">
        <f t="shared" si="5"/>
        <v>0</v>
      </c>
      <c r="AC45" s="173">
        <v>1055</v>
      </c>
      <c r="AD45" s="571">
        <v>0</v>
      </c>
      <c r="AE45" s="576">
        <f t="shared" si="6"/>
        <v>17571</v>
      </c>
    </row>
    <row r="46" spans="1:31" ht="9.75" customHeight="1">
      <c r="A46" s="267"/>
      <c r="B46" s="267"/>
      <c r="C46" s="568">
        <v>21</v>
      </c>
      <c r="D46" s="568">
        <v>399</v>
      </c>
      <c r="E46" s="51">
        <v>0.0025</v>
      </c>
      <c r="F46" s="54">
        <f t="shared" si="10"/>
        <v>7.9185060671095515</v>
      </c>
      <c r="G46" s="102">
        <v>7.61</v>
      </c>
      <c r="H46" s="568">
        <v>1967</v>
      </c>
      <c r="I46" s="576">
        <v>17571</v>
      </c>
      <c r="J46" s="50">
        <f t="shared" si="1"/>
        <v>2.709030758774968</v>
      </c>
      <c r="K46" s="54">
        <f t="shared" si="2"/>
        <v>7.3653785809125205</v>
      </c>
      <c r="L46" s="107">
        <f t="shared" si="4"/>
        <v>7.61</v>
      </c>
      <c r="M46" s="575">
        <v>16516</v>
      </c>
      <c r="N46" s="147">
        <f t="shared" si="3"/>
        <v>6.923145674255944</v>
      </c>
      <c r="O46" s="565"/>
      <c r="P46" s="571">
        <v>0</v>
      </c>
      <c r="Q46" s="136"/>
      <c r="R46" s="571">
        <v>0</v>
      </c>
      <c r="S46" s="136"/>
      <c r="T46" s="571">
        <v>0</v>
      </c>
      <c r="U46" s="565"/>
      <c r="V46" s="571">
        <v>0</v>
      </c>
      <c r="W46" s="136"/>
      <c r="X46" s="571">
        <v>0</v>
      </c>
      <c r="Y46" s="136"/>
      <c r="Z46" s="571">
        <v>0</v>
      </c>
      <c r="AA46" s="218"/>
      <c r="AB46" s="170">
        <f t="shared" si="5"/>
        <v>0</v>
      </c>
      <c r="AC46" s="173">
        <v>1055</v>
      </c>
      <c r="AD46" s="571">
        <v>0</v>
      </c>
      <c r="AE46" s="576">
        <f t="shared" si="6"/>
        <v>17571</v>
      </c>
    </row>
    <row r="47" spans="1:31" ht="9.75" customHeight="1">
      <c r="A47" s="267"/>
      <c r="B47" s="267"/>
      <c r="C47" s="568">
        <v>21</v>
      </c>
      <c r="D47" s="568">
        <v>52</v>
      </c>
      <c r="E47" s="51">
        <v>0.0025</v>
      </c>
      <c r="F47" s="54">
        <f t="shared" si="10"/>
        <v>7.9185060671095515</v>
      </c>
      <c r="G47" s="102">
        <v>7.61</v>
      </c>
      <c r="H47" s="568">
        <v>1967</v>
      </c>
      <c r="I47" s="576">
        <v>17571</v>
      </c>
      <c r="J47" s="50">
        <f t="shared" si="1"/>
        <v>2.709030758774968</v>
      </c>
      <c r="K47" s="54">
        <f t="shared" si="2"/>
        <v>7.3653785809125205</v>
      </c>
      <c r="L47" s="107">
        <f t="shared" si="4"/>
        <v>7.61</v>
      </c>
      <c r="M47" s="575">
        <v>16516</v>
      </c>
      <c r="N47" s="147">
        <f t="shared" si="3"/>
        <v>6.923145674255944</v>
      </c>
      <c r="O47" s="136"/>
      <c r="P47" s="571">
        <v>0</v>
      </c>
      <c r="Q47" s="565"/>
      <c r="R47" s="571">
        <v>0</v>
      </c>
      <c r="S47" s="565"/>
      <c r="T47" s="571">
        <v>0</v>
      </c>
      <c r="U47" s="136"/>
      <c r="V47" s="571">
        <v>0</v>
      </c>
      <c r="W47" s="565"/>
      <c r="X47" s="571">
        <v>0</v>
      </c>
      <c r="Y47" s="565"/>
      <c r="Z47" s="571">
        <v>0</v>
      </c>
      <c r="AA47" s="218"/>
      <c r="AB47" s="170">
        <f t="shared" si="5"/>
        <v>0</v>
      </c>
      <c r="AC47" s="173">
        <v>1055</v>
      </c>
      <c r="AD47" s="571">
        <v>0</v>
      </c>
      <c r="AE47" s="576">
        <f t="shared" si="6"/>
        <v>17571</v>
      </c>
    </row>
    <row r="48" spans="1:31" ht="9.75" customHeight="1">
      <c r="A48" s="564" t="s">
        <v>339</v>
      </c>
      <c r="B48" s="564" t="s">
        <v>487</v>
      </c>
      <c r="C48" s="568">
        <v>21</v>
      </c>
      <c r="D48" s="568">
        <v>397</v>
      </c>
      <c r="E48" s="51">
        <v>0.0025</v>
      </c>
      <c r="F48" s="54">
        <f t="shared" si="10"/>
        <v>7.9185060671095515</v>
      </c>
      <c r="G48" s="102">
        <v>7.61</v>
      </c>
      <c r="H48" s="568">
        <v>1967</v>
      </c>
      <c r="I48" s="576">
        <v>17571</v>
      </c>
      <c r="J48" s="50">
        <f t="shared" si="1"/>
        <v>2.709030758774968</v>
      </c>
      <c r="K48" s="54">
        <f t="shared" si="2"/>
        <v>7.3653785809125205</v>
      </c>
      <c r="L48" s="107">
        <f t="shared" si="4"/>
        <v>7.61</v>
      </c>
      <c r="M48" s="575">
        <v>16516</v>
      </c>
      <c r="N48" s="147">
        <f t="shared" si="3"/>
        <v>6.923145674255944</v>
      </c>
      <c r="O48" s="136"/>
      <c r="P48" s="571">
        <v>0</v>
      </c>
      <c r="Q48" s="565"/>
      <c r="R48" s="571">
        <v>0</v>
      </c>
      <c r="S48" s="565"/>
      <c r="T48" s="571">
        <v>0</v>
      </c>
      <c r="U48" s="136"/>
      <c r="V48" s="571">
        <v>0</v>
      </c>
      <c r="W48" s="136"/>
      <c r="X48" s="571">
        <v>0</v>
      </c>
      <c r="Y48" s="136"/>
      <c r="Z48" s="571">
        <v>0</v>
      </c>
      <c r="AA48" s="218"/>
      <c r="AB48" s="170">
        <f t="shared" si="5"/>
        <v>0</v>
      </c>
      <c r="AC48" s="173">
        <v>1055</v>
      </c>
      <c r="AD48" s="571">
        <v>0</v>
      </c>
      <c r="AE48" s="576">
        <f t="shared" si="6"/>
        <v>17571</v>
      </c>
    </row>
    <row r="49" spans="1:31" ht="9.75" customHeight="1">
      <c r="A49" s="267"/>
      <c r="B49" s="267"/>
      <c r="C49" s="568">
        <v>21</v>
      </c>
      <c r="D49" s="568">
        <v>400</v>
      </c>
      <c r="E49" s="51">
        <v>0.0025</v>
      </c>
      <c r="F49" s="54">
        <f t="shared" si="10"/>
        <v>7.9185060671095515</v>
      </c>
      <c r="G49" s="102">
        <v>7.61</v>
      </c>
      <c r="H49" s="568">
        <v>1967</v>
      </c>
      <c r="I49" s="576">
        <v>17571</v>
      </c>
      <c r="J49" s="50">
        <f t="shared" si="1"/>
        <v>2.709030758774968</v>
      </c>
      <c r="K49" s="54">
        <f t="shared" si="2"/>
        <v>7.3653785809125205</v>
      </c>
      <c r="L49" s="107">
        <f t="shared" si="4"/>
        <v>7.61</v>
      </c>
      <c r="M49" s="575">
        <v>16516</v>
      </c>
      <c r="N49" s="147">
        <f t="shared" si="3"/>
        <v>6.923145674255944</v>
      </c>
      <c r="O49" s="136"/>
      <c r="P49" s="571">
        <v>0</v>
      </c>
      <c r="Q49" s="136"/>
      <c r="R49" s="571">
        <v>0</v>
      </c>
      <c r="S49" s="136"/>
      <c r="T49" s="571">
        <v>0</v>
      </c>
      <c r="U49" s="136"/>
      <c r="V49" s="571">
        <v>0</v>
      </c>
      <c r="W49" s="136"/>
      <c r="X49" s="571">
        <v>0</v>
      </c>
      <c r="Y49" s="565"/>
      <c r="Z49" s="571">
        <v>0</v>
      </c>
      <c r="AA49" s="218"/>
      <c r="AB49" s="170">
        <f t="shared" si="5"/>
        <v>0</v>
      </c>
      <c r="AC49" s="173">
        <v>1055</v>
      </c>
      <c r="AD49" s="571">
        <v>0</v>
      </c>
      <c r="AE49" s="576">
        <f t="shared" si="6"/>
        <v>17571</v>
      </c>
    </row>
    <row r="50" spans="1:31" ht="9.75" customHeight="1">
      <c r="A50" s="267"/>
      <c r="B50" s="267"/>
      <c r="C50" s="568">
        <v>21</v>
      </c>
      <c r="D50" s="568">
        <v>282</v>
      </c>
      <c r="E50" s="51">
        <v>0.0025</v>
      </c>
      <c r="F50" s="54">
        <f t="shared" si="10"/>
        <v>7.9185060671095515</v>
      </c>
      <c r="G50" s="102">
        <v>7.61</v>
      </c>
      <c r="H50" s="568">
        <v>1967</v>
      </c>
      <c r="I50" s="576">
        <v>17571</v>
      </c>
      <c r="J50" s="50">
        <f t="shared" si="1"/>
        <v>2.709030758774968</v>
      </c>
      <c r="K50" s="54">
        <f t="shared" si="2"/>
        <v>7.3653785809125205</v>
      </c>
      <c r="L50" s="107">
        <f t="shared" si="4"/>
        <v>7.61</v>
      </c>
      <c r="M50" s="575">
        <v>16516</v>
      </c>
      <c r="N50" s="147">
        <f t="shared" si="3"/>
        <v>6.923145674255944</v>
      </c>
      <c r="O50" s="136"/>
      <c r="P50" s="571">
        <v>0</v>
      </c>
      <c r="Q50" s="565"/>
      <c r="R50" s="571">
        <v>0</v>
      </c>
      <c r="S50" s="565"/>
      <c r="T50" s="571">
        <v>0</v>
      </c>
      <c r="U50" s="565"/>
      <c r="V50" s="571">
        <v>0</v>
      </c>
      <c r="W50" s="565"/>
      <c r="X50" s="571">
        <v>0</v>
      </c>
      <c r="Y50" s="136"/>
      <c r="Z50" s="571">
        <v>0</v>
      </c>
      <c r="AA50" s="218"/>
      <c r="AB50" s="170">
        <f t="shared" si="5"/>
        <v>0</v>
      </c>
      <c r="AC50" s="173">
        <v>1055</v>
      </c>
      <c r="AD50" s="571">
        <v>0</v>
      </c>
      <c r="AE50" s="576">
        <f t="shared" si="6"/>
        <v>17571</v>
      </c>
    </row>
    <row r="51" spans="1:31" ht="9.75" customHeight="1">
      <c r="A51" s="267"/>
      <c r="B51" s="267"/>
      <c r="C51" s="568">
        <v>21</v>
      </c>
      <c r="D51" s="568">
        <v>33</v>
      </c>
      <c r="E51" s="51">
        <v>0.0025</v>
      </c>
      <c r="F51" s="54">
        <f t="shared" si="10"/>
        <v>7.9185060671095515</v>
      </c>
      <c r="G51" s="102">
        <v>7.61</v>
      </c>
      <c r="H51" s="568">
        <v>1967</v>
      </c>
      <c r="I51" s="576">
        <v>17571</v>
      </c>
      <c r="J51" s="50">
        <f t="shared" si="1"/>
        <v>2.709030758774968</v>
      </c>
      <c r="K51" s="54">
        <f t="shared" si="2"/>
        <v>7.3653785809125205</v>
      </c>
      <c r="L51" s="107">
        <f t="shared" si="4"/>
        <v>7.61</v>
      </c>
      <c r="M51" s="575">
        <v>16516</v>
      </c>
      <c r="N51" s="147">
        <f t="shared" si="3"/>
        <v>6.923145674255944</v>
      </c>
      <c r="O51" s="136"/>
      <c r="P51" s="571">
        <v>0</v>
      </c>
      <c r="Q51" s="565"/>
      <c r="R51" s="571">
        <v>0</v>
      </c>
      <c r="S51" s="565"/>
      <c r="T51" s="571">
        <v>0</v>
      </c>
      <c r="U51" s="565"/>
      <c r="V51" s="571">
        <v>0</v>
      </c>
      <c r="W51" s="565"/>
      <c r="X51" s="571">
        <v>0</v>
      </c>
      <c r="Y51" s="136"/>
      <c r="Z51" s="571">
        <v>0</v>
      </c>
      <c r="AA51" s="218"/>
      <c r="AB51" s="170">
        <f t="shared" si="5"/>
        <v>0</v>
      </c>
      <c r="AC51" s="173">
        <v>1055</v>
      </c>
      <c r="AD51" s="571">
        <v>0</v>
      </c>
      <c r="AE51" s="576">
        <f t="shared" si="6"/>
        <v>17571</v>
      </c>
    </row>
    <row r="52" spans="1:31" ht="9.75" customHeight="1">
      <c r="A52" s="564" t="s">
        <v>340</v>
      </c>
      <c r="B52" s="564" t="s">
        <v>339</v>
      </c>
      <c r="C52" s="568">
        <v>21</v>
      </c>
      <c r="D52" s="568">
        <v>429</v>
      </c>
      <c r="E52" s="51">
        <v>0.0025</v>
      </c>
      <c r="F52" s="54">
        <f t="shared" si="10"/>
        <v>7.9185060671095515</v>
      </c>
      <c r="G52" s="102">
        <v>7.49</v>
      </c>
      <c r="H52" s="568">
        <v>1967</v>
      </c>
      <c r="I52" s="576">
        <v>19246</v>
      </c>
      <c r="J52" s="50">
        <f t="shared" si="1"/>
        <v>2.669244789866602</v>
      </c>
      <c r="K52" s="54">
        <f t="shared" si="2"/>
        <v>7.9490191785769175</v>
      </c>
      <c r="L52" s="107">
        <f t="shared" si="4"/>
        <v>7.49</v>
      </c>
      <c r="M52" s="575">
        <v>18191</v>
      </c>
      <c r="N52" s="147">
        <f t="shared" si="3"/>
        <v>7.5132810910055445</v>
      </c>
      <c r="O52" s="565"/>
      <c r="P52" s="571">
        <v>0</v>
      </c>
      <c r="Q52" s="565"/>
      <c r="R52" s="571">
        <v>0</v>
      </c>
      <c r="S52" s="565"/>
      <c r="T52" s="571">
        <v>0</v>
      </c>
      <c r="U52" s="565"/>
      <c r="V52" s="571">
        <v>0</v>
      </c>
      <c r="W52" s="136"/>
      <c r="X52" s="571">
        <v>0</v>
      </c>
      <c r="Y52" s="565"/>
      <c r="Z52" s="571">
        <v>0</v>
      </c>
      <c r="AA52" s="218"/>
      <c r="AB52" s="170">
        <f t="shared" si="5"/>
        <v>0</v>
      </c>
      <c r="AC52" s="173">
        <v>1055</v>
      </c>
      <c r="AD52" s="571">
        <v>0</v>
      </c>
      <c r="AE52" s="576">
        <f t="shared" si="6"/>
        <v>19246</v>
      </c>
    </row>
    <row r="53" spans="1:31" ht="9.75" customHeight="1">
      <c r="A53" s="267"/>
      <c r="B53" s="267"/>
      <c r="C53" s="568">
        <v>21</v>
      </c>
      <c r="D53" s="568">
        <v>183</v>
      </c>
      <c r="E53" s="51">
        <v>0.0025</v>
      </c>
      <c r="F53" s="54">
        <f t="shared" si="10"/>
        <v>7.9185060671095515</v>
      </c>
      <c r="G53" s="102">
        <v>7.48</v>
      </c>
      <c r="H53" s="568">
        <v>1967</v>
      </c>
      <c r="I53" s="576">
        <v>19246</v>
      </c>
      <c r="J53" s="50">
        <f t="shared" si="1"/>
        <v>2.669244789866602</v>
      </c>
      <c r="K53" s="54">
        <f t="shared" si="2"/>
        <v>7.9490191785769175</v>
      </c>
      <c r="L53" s="107">
        <f t="shared" si="4"/>
        <v>7.48</v>
      </c>
      <c r="M53" s="575">
        <v>18191</v>
      </c>
      <c r="N53" s="147">
        <f t="shared" si="3"/>
        <v>7.5132810910055445</v>
      </c>
      <c r="O53" s="565"/>
      <c r="P53" s="571">
        <v>0</v>
      </c>
      <c r="Q53" s="565"/>
      <c r="R53" s="571">
        <v>0</v>
      </c>
      <c r="S53" s="565"/>
      <c r="T53" s="571">
        <v>0</v>
      </c>
      <c r="U53" s="565"/>
      <c r="V53" s="571">
        <v>0</v>
      </c>
      <c r="W53" s="565"/>
      <c r="X53" s="571">
        <v>0</v>
      </c>
      <c r="Y53" s="136"/>
      <c r="Z53" s="571">
        <v>0</v>
      </c>
      <c r="AA53" s="218"/>
      <c r="AB53" s="170">
        <f t="shared" si="5"/>
        <v>0</v>
      </c>
      <c r="AC53" s="173">
        <v>1055</v>
      </c>
      <c r="AD53" s="571">
        <v>0</v>
      </c>
      <c r="AE53" s="576">
        <f t="shared" si="6"/>
        <v>19246</v>
      </c>
    </row>
    <row r="54" spans="1:31" ht="9.75" customHeight="1">
      <c r="A54" s="267"/>
      <c r="B54" s="267"/>
      <c r="C54" s="568">
        <v>21</v>
      </c>
      <c r="D54" s="568">
        <v>111</v>
      </c>
      <c r="E54" s="51">
        <v>0.0025</v>
      </c>
      <c r="F54" s="54">
        <f t="shared" si="10"/>
        <v>7.9185060671095515</v>
      </c>
      <c r="G54" s="102">
        <v>7.48</v>
      </c>
      <c r="H54" s="568">
        <v>1967</v>
      </c>
      <c r="I54" s="576">
        <v>19246</v>
      </c>
      <c r="J54" s="50">
        <f t="shared" si="1"/>
        <v>2.669244789866602</v>
      </c>
      <c r="K54" s="54">
        <f t="shared" si="2"/>
        <v>7.9490191785769175</v>
      </c>
      <c r="L54" s="107">
        <f t="shared" si="4"/>
        <v>7.48</v>
      </c>
      <c r="M54" s="575">
        <v>18191</v>
      </c>
      <c r="N54" s="147">
        <f t="shared" si="3"/>
        <v>7.5132810910055445</v>
      </c>
      <c r="O54" s="565"/>
      <c r="P54" s="571">
        <v>0</v>
      </c>
      <c r="Q54" s="565"/>
      <c r="R54" s="571">
        <v>0</v>
      </c>
      <c r="S54" s="565"/>
      <c r="T54" s="571">
        <v>0</v>
      </c>
      <c r="U54" s="565"/>
      <c r="V54" s="571">
        <v>0</v>
      </c>
      <c r="W54" s="136"/>
      <c r="X54" s="571">
        <v>0</v>
      </c>
      <c r="Y54" s="136"/>
      <c r="Z54" s="571">
        <v>0</v>
      </c>
      <c r="AA54" s="218"/>
      <c r="AB54" s="170">
        <f t="shared" si="5"/>
        <v>0</v>
      </c>
      <c r="AC54" s="173">
        <v>1055</v>
      </c>
      <c r="AD54" s="571">
        <v>0</v>
      </c>
      <c r="AE54" s="576">
        <f t="shared" si="6"/>
        <v>19246</v>
      </c>
    </row>
    <row r="55" spans="1:31" ht="9.75" customHeight="1">
      <c r="A55" s="267"/>
      <c r="B55" s="267"/>
      <c r="C55" s="568">
        <v>21</v>
      </c>
      <c r="D55" s="568">
        <v>462</v>
      </c>
      <c r="E55" s="51">
        <v>0.0025</v>
      </c>
      <c r="F55" s="54">
        <f t="shared" si="10"/>
        <v>7.9185060671095515</v>
      </c>
      <c r="G55" s="102">
        <v>7.48</v>
      </c>
      <c r="H55" s="568">
        <v>1967</v>
      </c>
      <c r="I55" s="576">
        <v>19246</v>
      </c>
      <c r="J55" s="50">
        <f t="shared" si="1"/>
        <v>2.669244789866602</v>
      </c>
      <c r="K55" s="54">
        <f t="shared" si="2"/>
        <v>7.9490191785769175</v>
      </c>
      <c r="L55" s="107">
        <f t="shared" si="4"/>
        <v>7.48</v>
      </c>
      <c r="M55" s="575">
        <v>18191</v>
      </c>
      <c r="N55" s="147">
        <f t="shared" si="3"/>
        <v>7.5132810910055445</v>
      </c>
      <c r="O55" s="565"/>
      <c r="P55" s="571">
        <v>0</v>
      </c>
      <c r="Q55" s="565"/>
      <c r="R55" s="571">
        <v>0</v>
      </c>
      <c r="S55" s="565"/>
      <c r="T55" s="571">
        <v>0</v>
      </c>
      <c r="U55" s="136"/>
      <c r="V55" s="571">
        <v>0</v>
      </c>
      <c r="W55" s="136"/>
      <c r="X55" s="571">
        <v>0</v>
      </c>
      <c r="Y55" s="565"/>
      <c r="Z55" s="571">
        <v>0</v>
      </c>
      <c r="AA55" s="218"/>
      <c r="AB55" s="170">
        <f t="shared" si="5"/>
        <v>0</v>
      </c>
      <c r="AC55" s="173">
        <v>1055</v>
      </c>
      <c r="AD55" s="571">
        <v>0</v>
      </c>
      <c r="AE55" s="576">
        <f t="shared" si="6"/>
        <v>19246</v>
      </c>
    </row>
    <row r="56" spans="1:31" ht="9.75" customHeight="1">
      <c r="A56" s="564" t="s">
        <v>341</v>
      </c>
      <c r="B56" s="564" t="s">
        <v>340</v>
      </c>
      <c r="C56" s="568">
        <v>21</v>
      </c>
      <c r="D56" s="568">
        <v>436</v>
      </c>
      <c r="E56" s="51">
        <v>0.0025</v>
      </c>
      <c r="F56" s="54">
        <f t="shared" si="10"/>
        <v>7.9185060671095515</v>
      </c>
      <c r="G56" s="102">
        <v>7.48</v>
      </c>
      <c r="H56" s="568">
        <v>1967</v>
      </c>
      <c r="I56" s="576">
        <v>19246</v>
      </c>
      <c r="J56" s="50">
        <f t="shared" si="1"/>
        <v>2.669244789866602</v>
      </c>
      <c r="K56" s="54">
        <f t="shared" si="2"/>
        <v>7.9490191785769175</v>
      </c>
      <c r="L56" s="107">
        <f t="shared" si="4"/>
        <v>7.48</v>
      </c>
      <c r="M56" s="575">
        <v>18191</v>
      </c>
      <c r="N56" s="147">
        <f t="shared" si="3"/>
        <v>7.5132810910055445</v>
      </c>
      <c r="O56" s="565"/>
      <c r="P56" s="571">
        <v>0</v>
      </c>
      <c r="Q56" s="565"/>
      <c r="R56" s="571">
        <v>0</v>
      </c>
      <c r="S56" s="565"/>
      <c r="T56" s="571">
        <v>0</v>
      </c>
      <c r="U56" s="565"/>
      <c r="V56" s="571">
        <v>0</v>
      </c>
      <c r="W56" s="565"/>
      <c r="X56" s="571">
        <v>0</v>
      </c>
      <c r="Y56" s="565"/>
      <c r="Z56" s="571">
        <v>0</v>
      </c>
      <c r="AA56" s="218"/>
      <c r="AB56" s="170">
        <f t="shared" si="5"/>
        <v>0</v>
      </c>
      <c r="AC56" s="173">
        <v>1055</v>
      </c>
      <c r="AD56" s="571">
        <v>0</v>
      </c>
      <c r="AE56" s="576">
        <f t="shared" si="6"/>
        <v>19246</v>
      </c>
    </row>
    <row r="57" spans="1:31" ht="9.75" customHeight="1">
      <c r="A57" s="392"/>
      <c r="B57" s="392"/>
      <c r="C57" s="43">
        <v>21</v>
      </c>
      <c r="D57" s="43">
        <v>17</v>
      </c>
      <c r="E57" s="52">
        <v>0.0025</v>
      </c>
      <c r="F57" s="61">
        <f t="shared" si="10"/>
        <v>7.9185060671095515</v>
      </c>
      <c r="G57" s="103">
        <v>7.48</v>
      </c>
      <c r="H57" s="43">
        <v>1966</v>
      </c>
      <c r="I57" s="55">
        <v>19246</v>
      </c>
      <c r="J57" s="58">
        <f t="shared" si="1"/>
        <v>2.669244789866602</v>
      </c>
      <c r="K57" s="61">
        <f t="shared" si="2"/>
        <v>7.9490191785769175</v>
      </c>
      <c r="L57" s="108">
        <f t="shared" si="4"/>
        <v>7.48</v>
      </c>
      <c r="M57" s="101">
        <v>18191</v>
      </c>
      <c r="N57" s="148">
        <f t="shared" si="3"/>
        <v>7.5132810910055445</v>
      </c>
      <c r="O57" s="135"/>
      <c r="P57" s="71">
        <v>0</v>
      </c>
      <c r="Q57" s="135"/>
      <c r="R57" s="71">
        <v>0</v>
      </c>
      <c r="S57" s="135"/>
      <c r="T57" s="71">
        <v>0</v>
      </c>
      <c r="U57" s="135"/>
      <c r="V57" s="71">
        <v>0</v>
      </c>
      <c r="W57" s="135"/>
      <c r="X57" s="71">
        <v>0</v>
      </c>
      <c r="Y57" s="135"/>
      <c r="Z57" s="71">
        <v>0</v>
      </c>
      <c r="AA57" s="219"/>
      <c r="AB57" s="554">
        <f t="shared" si="5"/>
        <v>0</v>
      </c>
      <c r="AC57" s="413">
        <v>1055</v>
      </c>
      <c r="AD57" s="71">
        <v>0</v>
      </c>
      <c r="AE57" s="55">
        <f t="shared" si="6"/>
        <v>19246</v>
      </c>
    </row>
    <row r="58" ht="9.75" customHeight="1">
      <c r="X58" s="569"/>
    </row>
  </sheetData>
  <sheetProtection/>
  <mergeCells count="12">
    <mergeCell ref="S7:T7"/>
    <mergeCell ref="U7:V7"/>
    <mergeCell ref="AC7:AD7"/>
    <mergeCell ref="M7:N7"/>
    <mergeCell ref="AA7:AB7"/>
    <mergeCell ref="Y7:Z7"/>
    <mergeCell ref="W7:X7"/>
    <mergeCell ref="A19:B19"/>
    <mergeCell ref="A23:B23"/>
    <mergeCell ref="O7:P7"/>
    <mergeCell ref="Q7:R7"/>
    <mergeCell ref="A8:B8"/>
  </mergeCells>
  <printOptions horizontalCentered="1"/>
  <pageMargins left="0.47" right="0.23" top="0.52" bottom="0.26" header="0.53" footer="0.3"/>
  <pageSetup fitToHeight="1" fitToWidth="1" horizontalDpi="600" verticalDpi="600" orientation="landscape" scale="84" r:id="rId1"/>
  <headerFooter alignWithMargins="0">
    <oddFooter>&amp;L&amp;8Revised:                            6/1/2012
App. by OSG Tech. Comm.  &amp;CPage 9 of 13 Pages</oddFooter>
  </headerFooter>
  <rowBreaks count="1" manualBreakCount="1">
    <brk id="81" max="255" man="1"/>
  </rowBreaks>
  <colBreaks count="1" manualBreakCount="1">
    <brk id="8" max="65535" man="1"/>
  </colBreaks>
</worksheet>
</file>

<file path=xl/worksheets/sheet17.xml><?xml version="1.0" encoding="utf-8"?>
<worksheet xmlns="http://schemas.openxmlformats.org/spreadsheetml/2006/main" xmlns:r="http://schemas.openxmlformats.org/officeDocument/2006/relationships">
  <sheetPr>
    <pageSetUpPr fitToPage="1"/>
  </sheetPr>
  <dimension ref="A1:AE50"/>
  <sheetViews>
    <sheetView view="pageLayout" zoomScale="0" zoomScaleNormal="90" zoomScaleSheetLayoutView="100" zoomScalePageLayoutView="0" workbookViewId="0" topLeftCell="A1">
      <selection activeCell="G28" sqref="G28"/>
      <selection activeCell="A1" sqref="A1"/>
    </sheetView>
  </sheetViews>
  <sheetFormatPr defaultColWidth="9.140625" defaultRowHeight="12.75"/>
  <cols>
    <col min="1" max="1" width="12.8515625" style="0" customWidth="1"/>
    <col min="2" max="2" width="12.421875" style="0" customWidth="1"/>
    <col min="3" max="4" width="4.7109375" style="0" customWidth="1"/>
    <col min="5" max="5" width="4.7109375" style="244" customWidth="1"/>
    <col min="6" max="6" width="5.140625" style="0" customWidth="1"/>
    <col min="7" max="7" width="4.7109375" style="555" customWidth="1"/>
    <col min="8" max="8" width="4.7109375" style="0" customWidth="1"/>
    <col min="9" max="9" width="6.140625" style="220" customWidth="1"/>
    <col min="10" max="12" width="4.7109375" style="0" customWidth="1"/>
    <col min="13" max="13" width="4.7109375" style="220" customWidth="1"/>
    <col min="14" max="14" width="4.7109375" style="239" customWidth="1"/>
    <col min="15" max="15" width="4.7109375" style="0" customWidth="1"/>
    <col min="16" max="16" width="5.8515625" style="239" customWidth="1"/>
    <col min="17" max="17" width="4.7109375" style="0" customWidth="1"/>
    <col min="18" max="18" width="4.7109375" style="239" customWidth="1"/>
    <col min="19" max="19" width="4.7109375" style="0" customWidth="1"/>
    <col min="20" max="20" width="4.7109375" style="239" customWidth="1"/>
    <col min="21" max="21" width="4.7109375" style="0" customWidth="1"/>
    <col min="22" max="22" width="4.7109375" style="239" customWidth="1"/>
    <col min="23" max="23" width="4.7109375" style="0" customWidth="1"/>
    <col min="24" max="24" width="4.7109375" style="239" customWidth="1"/>
    <col min="25" max="25" width="4.7109375" style="0" customWidth="1"/>
    <col min="26" max="26" width="5.28125" style="239" customWidth="1"/>
    <col min="27" max="27" width="4.7109375" style="0" customWidth="1"/>
    <col min="28" max="28" width="5.421875" style="239" customWidth="1"/>
    <col min="29" max="29" width="4.7109375" style="0" customWidth="1"/>
    <col min="30" max="30" width="5.28125" style="239" customWidth="1"/>
    <col min="31" max="31" width="6.28125" style="0" customWidth="1"/>
  </cols>
  <sheetData>
    <row r="1" spans="1:31" ht="14.25">
      <c r="A1" s="88" t="s">
        <v>172</v>
      </c>
      <c r="B1" s="88"/>
      <c r="U1" s="88"/>
      <c r="V1" s="88"/>
      <c r="W1" s="88"/>
      <c r="X1" s="88"/>
      <c r="Y1" s="88"/>
      <c r="Z1" s="88"/>
      <c r="AA1" s="88"/>
      <c r="AB1" s="88"/>
      <c r="AC1" s="551"/>
      <c r="AD1" s="551"/>
      <c r="AE1" s="551"/>
    </row>
    <row r="2" spans="1:31" ht="14.25">
      <c r="A2" s="88" t="s">
        <v>1</v>
      </c>
      <c r="B2" s="88"/>
      <c r="V2"/>
      <c r="X2"/>
      <c r="Z2"/>
      <c r="AB2"/>
      <c r="AC2" s="551"/>
      <c r="AD2" s="551"/>
      <c r="AE2" s="551"/>
    </row>
    <row r="3" spans="1:2" ht="14.25">
      <c r="A3" s="88" t="s">
        <v>2</v>
      </c>
      <c r="B3" s="88"/>
    </row>
    <row r="4" spans="1:2" ht="14.25">
      <c r="A4" s="88" t="s">
        <v>173</v>
      </c>
      <c r="B4" s="88"/>
    </row>
    <row r="6" spans="2:31" s="568" customFormat="1" ht="9.75" customHeight="1">
      <c r="B6" s="69"/>
      <c r="E6" s="51"/>
      <c r="G6" s="176" t="s">
        <v>44</v>
      </c>
      <c r="I6" s="576" t="s">
        <v>175</v>
      </c>
      <c r="K6" s="41" t="s">
        <v>203</v>
      </c>
      <c r="L6" s="42" t="s">
        <v>204</v>
      </c>
      <c r="M6" s="673" t="s">
        <v>44</v>
      </c>
      <c r="N6" s="673"/>
      <c r="O6" s="670" t="s">
        <v>66</v>
      </c>
      <c r="P6" s="671"/>
      <c r="Q6" s="670" t="s">
        <v>177</v>
      </c>
      <c r="R6" s="671"/>
      <c r="S6" s="670" t="s">
        <v>51</v>
      </c>
      <c r="T6" s="671"/>
      <c r="U6" s="670" t="s">
        <v>178</v>
      </c>
      <c r="V6" s="671"/>
      <c r="W6" s="670" t="s">
        <v>68</v>
      </c>
      <c r="X6" s="671"/>
      <c r="Y6" s="670" t="s">
        <v>65</v>
      </c>
      <c r="Z6" s="671"/>
      <c r="AA6" s="670" t="s">
        <v>207</v>
      </c>
      <c r="AB6" s="671"/>
      <c r="AC6" s="670" t="s">
        <v>208</v>
      </c>
      <c r="AD6" s="671"/>
      <c r="AE6" s="568" t="s">
        <v>7</v>
      </c>
    </row>
    <row r="7" spans="1:31" s="568" customFormat="1" ht="9.75" customHeight="1">
      <c r="A7" s="568" t="s">
        <v>179</v>
      </c>
      <c r="B7" s="69"/>
      <c r="C7" s="568" t="s">
        <v>180</v>
      </c>
      <c r="D7" s="568" t="s">
        <v>181</v>
      </c>
      <c r="E7" s="51" t="s">
        <v>182</v>
      </c>
      <c r="F7" s="568" t="s">
        <v>183</v>
      </c>
      <c r="G7" s="176" t="s">
        <v>204</v>
      </c>
      <c r="H7" s="568" t="s">
        <v>212</v>
      </c>
      <c r="I7" s="576" t="s">
        <v>184</v>
      </c>
      <c r="J7" s="568" t="s">
        <v>185</v>
      </c>
      <c r="K7" s="41" t="s">
        <v>204</v>
      </c>
      <c r="L7" s="42" t="s">
        <v>199</v>
      </c>
      <c r="M7" s="576" t="s">
        <v>187</v>
      </c>
      <c r="N7" s="569" t="s">
        <v>200</v>
      </c>
      <c r="O7" s="173" t="s">
        <v>187</v>
      </c>
      <c r="P7" s="571" t="s">
        <v>200</v>
      </c>
      <c r="Q7" s="173" t="s">
        <v>187</v>
      </c>
      <c r="R7" s="571" t="s">
        <v>200</v>
      </c>
      <c r="S7" s="173" t="s">
        <v>187</v>
      </c>
      <c r="T7" s="571" t="s">
        <v>200</v>
      </c>
      <c r="U7" s="173" t="s">
        <v>187</v>
      </c>
      <c r="V7" s="571" t="s">
        <v>200</v>
      </c>
      <c r="W7" s="173" t="s">
        <v>187</v>
      </c>
      <c r="X7" s="571" t="s">
        <v>200</v>
      </c>
      <c r="Y7" s="173" t="s">
        <v>187</v>
      </c>
      <c r="Z7" s="571" t="s">
        <v>200</v>
      </c>
      <c r="AA7" s="565" t="s">
        <v>187</v>
      </c>
      <c r="AB7" s="571" t="s">
        <v>358</v>
      </c>
      <c r="AC7" s="565" t="s">
        <v>186</v>
      </c>
      <c r="AD7" s="571" t="s">
        <v>327</v>
      </c>
      <c r="AE7" s="568" t="s">
        <v>187</v>
      </c>
    </row>
    <row r="8" spans="1:31" s="568" customFormat="1" ht="9.75" customHeight="1" thickBot="1">
      <c r="A8" s="97" t="s">
        <v>214</v>
      </c>
      <c r="B8" s="113" t="s">
        <v>215</v>
      </c>
      <c r="C8" s="78" t="s">
        <v>189</v>
      </c>
      <c r="D8" s="78" t="s">
        <v>242</v>
      </c>
      <c r="E8" s="79" t="s">
        <v>202</v>
      </c>
      <c r="F8" s="78" t="s">
        <v>191</v>
      </c>
      <c r="G8" s="179" t="s">
        <v>191</v>
      </c>
      <c r="H8" s="78" t="s">
        <v>192</v>
      </c>
      <c r="I8" s="82" t="s">
        <v>33</v>
      </c>
      <c r="J8" s="78" t="s">
        <v>194</v>
      </c>
      <c r="K8" s="80" t="s">
        <v>191</v>
      </c>
      <c r="L8" s="85" t="s">
        <v>191</v>
      </c>
      <c r="M8" s="82"/>
      <c r="N8" s="150" t="s">
        <v>191</v>
      </c>
      <c r="O8" s="172"/>
      <c r="P8" s="86" t="s">
        <v>191</v>
      </c>
      <c r="Q8" s="172"/>
      <c r="R8" s="86" t="s">
        <v>191</v>
      </c>
      <c r="S8" s="172"/>
      <c r="T8" s="86" t="s">
        <v>191</v>
      </c>
      <c r="U8" s="172"/>
      <c r="V8" s="86" t="s">
        <v>191</v>
      </c>
      <c r="W8" s="172"/>
      <c r="X8" s="86" t="s">
        <v>191</v>
      </c>
      <c r="Y8" s="172"/>
      <c r="Z8" s="86" t="s">
        <v>191</v>
      </c>
      <c r="AA8" s="172"/>
      <c r="AB8" s="86" t="s">
        <v>191</v>
      </c>
      <c r="AC8" s="172"/>
      <c r="AD8" s="86" t="s">
        <v>191</v>
      </c>
      <c r="AE8" s="78"/>
    </row>
    <row r="9" spans="1:31" s="568" customFormat="1" ht="9.75" customHeight="1" thickTop="1">
      <c r="A9" s="96" t="s">
        <v>352</v>
      </c>
      <c r="B9" s="69" t="s">
        <v>341</v>
      </c>
      <c r="C9" s="568">
        <v>30</v>
      </c>
      <c r="D9" s="568">
        <v>338</v>
      </c>
      <c r="E9" s="51">
        <v>0.0025</v>
      </c>
      <c r="F9" s="50">
        <f>(1.486/0.013)*((3.14*($C9*$C9)/4)/144)*SQRT($E9)*POWER($C9/12/4,2/3)</f>
        <v>20.498172667083473</v>
      </c>
      <c r="G9" s="176">
        <v>20.51</v>
      </c>
      <c r="H9" s="568">
        <v>1966</v>
      </c>
      <c r="I9" s="576">
        <v>34747</v>
      </c>
      <c r="J9" s="50">
        <f aca="true" t="shared" si="0" ref="J9:J48">(18+SQRT(I9/1000))/(4+SQRT(I9/1000))</f>
        <v>2.4149048054337765</v>
      </c>
      <c r="K9" s="54">
        <f aca="true" t="shared" si="1" ref="K9:K48">I9:I9*100*J9/(7.48*24*60*60)</f>
        <v>12.983805158572153</v>
      </c>
      <c r="L9" s="178">
        <f>G9</f>
        <v>20.51</v>
      </c>
      <c r="M9" s="576">
        <v>33693</v>
      </c>
      <c r="N9" s="569">
        <f aca="true" t="shared" si="2" ref="N9:N48">J9*100*M9/(7.48*24*60*60)</f>
        <v>12.589960203982262</v>
      </c>
      <c r="O9" s="565"/>
      <c r="P9" s="571">
        <v>0</v>
      </c>
      <c r="Q9" s="565"/>
      <c r="R9" s="571">
        <v>0</v>
      </c>
      <c r="S9" s="565"/>
      <c r="T9" s="571">
        <v>0</v>
      </c>
      <c r="U9" s="565"/>
      <c r="V9" s="571">
        <v>0</v>
      </c>
      <c r="W9" s="565"/>
      <c r="X9" s="571">
        <v>0</v>
      </c>
      <c r="Y9" s="565"/>
      <c r="Z9" s="571">
        <v>0</v>
      </c>
      <c r="AA9" s="217"/>
      <c r="AB9" s="571">
        <f aca="true" t="shared" si="3" ref="AB9:AD48">$J9*100*AA9/(7.48*24*60*60)</f>
        <v>0</v>
      </c>
      <c r="AC9" s="173">
        <v>1055</v>
      </c>
      <c r="AD9" s="571">
        <f t="shared" si="3"/>
        <v>0.39421862152973275</v>
      </c>
      <c r="AE9" s="576">
        <f>AC9+AA9+Y9+W9+U9+S9+Q9+O9+M9</f>
        <v>34748</v>
      </c>
    </row>
    <row r="10" spans="1:31" s="568" customFormat="1" ht="9.75" customHeight="1">
      <c r="A10" s="96"/>
      <c r="B10" s="69" t="s">
        <v>359</v>
      </c>
      <c r="C10" s="568">
        <v>30</v>
      </c>
      <c r="D10" s="568">
        <v>328</v>
      </c>
      <c r="E10" s="51">
        <v>0.0027</v>
      </c>
      <c r="F10" s="50">
        <f aca="true" t="shared" si="4" ref="F10:F48">(1.486/0.013)*((3.14*($C10*$C10)/4)/144)*SQRT($E10)*POWER($C10/12/4,2/3)</f>
        <v>21.30232591302493</v>
      </c>
      <c r="G10" s="176">
        <v>21.32</v>
      </c>
      <c r="H10" s="568">
        <v>1966</v>
      </c>
      <c r="I10" s="576">
        <v>34747</v>
      </c>
      <c r="J10" s="50">
        <f t="shared" si="0"/>
        <v>2.4149048054337765</v>
      </c>
      <c r="K10" s="54">
        <f t="shared" si="1"/>
        <v>12.983805158572153</v>
      </c>
      <c r="L10" s="178">
        <f aca="true" t="shared" si="5" ref="L10:L44">G10</f>
        <v>21.32</v>
      </c>
      <c r="M10" s="576">
        <v>33693</v>
      </c>
      <c r="N10" s="569">
        <f t="shared" si="2"/>
        <v>12.589960203982262</v>
      </c>
      <c r="O10" s="565"/>
      <c r="P10" s="571">
        <v>0</v>
      </c>
      <c r="Q10" s="565"/>
      <c r="R10" s="571">
        <v>0</v>
      </c>
      <c r="S10" s="565"/>
      <c r="T10" s="571">
        <v>0</v>
      </c>
      <c r="U10" s="565"/>
      <c r="V10" s="571">
        <v>0</v>
      </c>
      <c r="W10" s="565"/>
      <c r="X10" s="571">
        <v>0</v>
      </c>
      <c r="Y10" s="565"/>
      <c r="Z10" s="571">
        <v>0</v>
      </c>
      <c r="AA10" s="217"/>
      <c r="AB10" s="571">
        <f t="shared" si="3"/>
        <v>0</v>
      </c>
      <c r="AC10" s="173">
        <v>1055</v>
      </c>
      <c r="AD10" s="571">
        <f t="shared" si="3"/>
        <v>0.39421862152973275</v>
      </c>
      <c r="AE10" s="576">
        <f aca="true" t="shared" si="6" ref="AE10:AE48">AC10+AA10+Y10+W10+U10+S10+Q10+O10+M10</f>
        <v>34748</v>
      </c>
    </row>
    <row r="11" spans="1:31" s="568" customFormat="1" ht="9.75" customHeight="1">
      <c r="A11" s="96"/>
      <c r="B11" s="69" t="s">
        <v>221</v>
      </c>
      <c r="C11" s="568">
        <v>30</v>
      </c>
      <c r="D11" s="568">
        <v>346</v>
      </c>
      <c r="E11" s="51">
        <v>0.0027</v>
      </c>
      <c r="F11" s="50">
        <f t="shared" si="4"/>
        <v>21.30232591302493</v>
      </c>
      <c r="G11" s="176">
        <v>21.32</v>
      </c>
      <c r="H11" s="568">
        <v>1966</v>
      </c>
      <c r="I11" s="576">
        <v>34747</v>
      </c>
      <c r="J11" s="50">
        <f t="shared" si="0"/>
        <v>2.4149048054337765</v>
      </c>
      <c r="K11" s="54">
        <f t="shared" si="1"/>
        <v>12.983805158572153</v>
      </c>
      <c r="L11" s="178">
        <f t="shared" si="5"/>
        <v>21.32</v>
      </c>
      <c r="M11" s="576">
        <v>33693</v>
      </c>
      <c r="N11" s="569">
        <f t="shared" si="2"/>
        <v>12.589960203982262</v>
      </c>
      <c r="O11" s="565"/>
      <c r="P11" s="571">
        <v>0</v>
      </c>
      <c r="Q11" s="565"/>
      <c r="R11" s="571">
        <v>0</v>
      </c>
      <c r="S11" s="565"/>
      <c r="T11" s="571">
        <v>0</v>
      </c>
      <c r="U11" s="565"/>
      <c r="V11" s="571">
        <v>0</v>
      </c>
      <c r="W11" s="565"/>
      <c r="X11" s="571">
        <v>0</v>
      </c>
      <c r="Y11" s="565"/>
      <c r="Z11" s="571">
        <v>0</v>
      </c>
      <c r="AA11" s="217"/>
      <c r="AB11" s="571">
        <f t="shared" si="3"/>
        <v>0</v>
      </c>
      <c r="AC11" s="173">
        <v>1055</v>
      </c>
      <c r="AD11" s="571">
        <f t="shared" si="3"/>
        <v>0.39421862152973275</v>
      </c>
      <c r="AE11" s="576">
        <f t="shared" si="6"/>
        <v>34748</v>
      </c>
    </row>
    <row r="12" spans="1:31" s="568" customFormat="1" ht="9.75" customHeight="1">
      <c r="A12" s="96"/>
      <c r="B12" s="69"/>
      <c r="C12" s="568">
        <v>30</v>
      </c>
      <c r="D12" s="568">
        <v>338</v>
      </c>
      <c r="E12" s="51">
        <v>0.0027</v>
      </c>
      <c r="F12" s="50">
        <f t="shared" si="4"/>
        <v>21.30232591302493</v>
      </c>
      <c r="G12" s="176">
        <v>21.32</v>
      </c>
      <c r="H12" s="568">
        <v>1966</v>
      </c>
      <c r="I12" s="576">
        <v>34747</v>
      </c>
      <c r="J12" s="50">
        <f t="shared" si="0"/>
        <v>2.4149048054337765</v>
      </c>
      <c r="K12" s="54">
        <f t="shared" si="1"/>
        <v>12.983805158572153</v>
      </c>
      <c r="L12" s="178">
        <f t="shared" si="5"/>
        <v>21.32</v>
      </c>
      <c r="M12" s="576">
        <v>33693</v>
      </c>
      <c r="N12" s="569">
        <f t="shared" si="2"/>
        <v>12.589960203982262</v>
      </c>
      <c r="O12" s="565"/>
      <c r="P12" s="571">
        <v>0</v>
      </c>
      <c r="Q12" s="565"/>
      <c r="R12" s="571">
        <v>0</v>
      </c>
      <c r="S12" s="565"/>
      <c r="T12" s="571">
        <v>0</v>
      </c>
      <c r="U12" s="565"/>
      <c r="V12" s="571">
        <v>0</v>
      </c>
      <c r="W12" s="565"/>
      <c r="X12" s="571">
        <v>0</v>
      </c>
      <c r="Y12" s="565"/>
      <c r="Z12" s="571">
        <v>0</v>
      </c>
      <c r="AA12" s="217"/>
      <c r="AB12" s="571">
        <f t="shared" si="3"/>
        <v>0</v>
      </c>
      <c r="AC12" s="173">
        <v>1055</v>
      </c>
      <c r="AD12" s="571">
        <f t="shared" si="3"/>
        <v>0.39421862152973275</v>
      </c>
      <c r="AE12" s="576">
        <f t="shared" si="6"/>
        <v>34748</v>
      </c>
    </row>
    <row r="13" spans="1:31" s="568" customFormat="1" ht="9.75" customHeight="1">
      <c r="A13" s="96"/>
      <c r="B13" s="69" t="s">
        <v>355</v>
      </c>
      <c r="C13" s="568">
        <v>30</v>
      </c>
      <c r="D13" s="568">
        <v>124</v>
      </c>
      <c r="E13" s="51">
        <v>0.0029</v>
      </c>
      <c r="F13" s="50">
        <f t="shared" si="4"/>
        <v>22.077207611468868</v>
      </c>
      <c r="G13" s="176">
        <v>21.83</v>
      </c>
      <c r="H13" s="568">
        <v>1966</v>
      </c>
      <c r="I13" s="576">
        <v>34747</v>
      </c>
      <c r="J13" s="50">
        <f t="shared" si="0"/>
        <v>2.4149048054337765</v>
      </c>
      <c r="K13" s="54">
        <f t="shared" si="1"/>
        <v>12.983805158572153</v>
      </c>
      <c r="L13" s="178">
        <f t="shared" si="5"/>
        <v>21.83</v>
      </c>
      <c r="M13" s="576">
        <v>33693</v>
      </c>
      <c r="N13" s="569">
        <f t="shared" si="2"/>
        <v>12.589960203982262</v>
      </c>
      <c r="O13" s="565"/>
      <c r="P13" s="569">
        <v>0</v>
      </c>
      <c r="Q13" s="565"/>
      <c r="R13" s="571">
        <v>0</v>
      </c>
      <c r="S13" s="565"/>
      <c r="T13" s="571">
        <v>0</v>
      </c>
      <c r="U13" s="565"/>
      <c r="V13" s="571">
        <v>0</v>
      </c>
      <c r="W13" s="565"/>
      <c r="X13" s="571">
        <v>0</v>
      </c>
      <c r="Y13" s="565"/>
      <c r="Z13" s="571">
        <v>0</v>
      </c>
      <c r="AA13" s="217"/>
      <c r="AB13" s="571">
        <f t="shared" si="3"/>
        <v>0</v>
      </c>
      <c r="AC13" s="173">
        <v>1055</v>
      </c>
      <c r="AD13" s="571">
        <f t="shared" si="3"/>
        <v>0.39421862152973275</v>
      </c>
      <c r="AE13" s="576">
        <f t="shared" si="6"/>
        <v>34748</v>
      </c>
    </row>
    <row r="14" spans="1:31" s="568" customFormat="1" ht="9.75" customHeight="1">
      <c r="A14" s="96"/>
      <c r="B14" s="69"/>
      <c r="C14" s="568">
        <v>30</v>
      </c>
      <c r="D14" s="568">
        <v>267</v>
      </c>
      <c r="E14" s="51">
        <v>0.0029</v>
      </c>
      <c r="F14" s="50">
        <f t="shared" si="4"/>
        <v>22.077207611468868</v>
      </c>
      <c r="G14" s="176">
        <v>21.83</v>
      </c>
      <c r="H14" s="568">
        <v>1966</v>
      </c>
      <c r="I14" s="576">
        <f>I$19</f>
        <v>34747</v>
      </c>
      <c r="J14" s="50">
        <f t="shared" si="0"/>
        <v>2.4149048054337765</v>
      </c>
      <c r="K14" s="54">
        <f t="shared" si="1"/>
        <v>12.983805158572153</v>
      </c>
      <c r="L14" s="176">
        <f t="shared" si="5"/>
        <v>21.83</v>
      </c>
      <c r="M14" s="575">
        <f>M$19</f>
        <v>33693</v>
      </c>
      <c r="N14" s="569">
        <f t="shared" si="2"/>
        <v>12.589960203982262</v>
      </c>
      <c r="O14" s="565"/>
      <c r="P14" s="569">
        <v>0</v>
      </c>
      <c r="Q14" s="173"/>
      <c r="R14" s="571">
        <v>0</v>
      </c>
      <c r="S14" s="565"/>
      <c r="T14" s="571">
        <v>0</v>
      </c>
      <c r="U14" s="565"/>
      <c r="V14" s="571">
        <v>0</v>
      </c>
      <c r="W14" s="565"/>
      <c r="X14" s="571">
        <v>0</v>
      </c>
      <c r="Y14" s="565"/>
      <c r="Z14" s="571">
        <v>0</v>
      </c>
      <c r="AA14" s="217"/>
      <c r="AB14" s="571">
        <f t="shared" si="3"/>
        <v>0</v>
      </c>
      <c r="AC14" s="173">
        <v>1055</v>
      </c>
      <c r="AD14" s="571">
        <f t="shared" si="3"/>
        <v>0.39421862152973275</v>
      </c>
      <c r="AE14" s="576">
        <f t="shared" si="6"/>
        <v>34748</v>
      </c>
    </row>
    <row r="15" spans="1:31" s="568" customFormat="1" ht="9.75" customHeight="1">
      <c r="A15" s="96"/>
      <c r="B15" s="69"/>
      <c r="C15" s="568">
        <v>30</v>
      </c>
      <c r="D15" s="568">
        <v>300</v>
      </c>
      <c r="E15" s="51">
        <v>0.0029</v>
      </c>
      <c r="F15" s="50">
        <f t="shared" si="4"/>
        <v>22.077207611468868</v>
      </c>
      <c r="G15" s="176">
        <v>21.83</v>
      </c>
      <c r="H15" s="568">
        <v>1966</v>
      </c>
      <c r="I15" s="576">
        <f>I$19</f>
        <v>34747</v>
      </c>
      <c r="J15" s="50">
        <f t="shared" si="0"/>
        <v>2.4149048054337765</v>
      </c>
      <c r="K15" s="54">
        <f t="shared" si="1"/>
        <v>12.983805158572153</v>
      </c>
      <c r="L15" s="176">
        <f t="shared" si="5"/>
        <v>21.83</v>
      </c>
      <c r="M15" s="575">
        <f>M$19</f>
        <v>33693</v>
      </c>
      <c r="N15" s="569">
        <f t="shared" si="2"/>
        <v>12.589960203982262</v>
      </c>
      <c r="O15" s="565"/>
      <c r="P15" s="569">
        <v>0</v>
      </c>
      <c r="Q15" s="173"/>
      <c r="R15" s="571">
        <v>0</v>
      </c>
      <c r="S15" s="565"/>
      <c r="T15" s="571">
        <v>0</v>
      </c>
      <c r="U15" s="565"/>
      <c r="V15" s="571">
        <v>0</v>
      </c>
      <c r="W15" s="565"/>
      <c r="X15" s="571">
        <v>0</v>
      </c>
      <c r="Y15" s="565"/>
      <c r="Z15" s="571">
        <v>0</v>
      </c>
      <c r="AA15" s="217"/>
      <c r="AB15" s="571">
        <f t="shared" si="3"/>
        <v>0</v>
      </c>
      <c r="AC15" s="173">
        <v>1055</v>
      </c>
      <c r="AD15" s="571">
        <f t="shared" si="3"/>
        <v>0.39421862152973275</v>
      </c>
      <c r="AE15" s="576">
        <f t="shared" si="6"/>
        <v>34748</v>
      </c>
    </row>
    <row r="16" spans="1:31" s="568" customFormat="1" ht="9.75" customHeight="1">
      <c r="A16" s="96"/>
      <c r="B16" s="69"/>
      <c r="E16" s="51"/>
      <c r="F16" s="50"/>
      <c r="G16" s="176"/>
      <c r="I16" s="576"/>
      <c r="J16" s="50"/>
      <c r="K16" s="54"/>
      <c r="L16" s="176"/>
      <c r="M16" s="575"/>
      <c r="N16" s="569"/>
      <c r="O16" s="565"/>
      <c r="P16" s="569"/>
      <c r="Q16" s="173"/>
      <c r="R16" s="571"/>
      <c r="S16" s="565"/>
      <c r="T16" s="571"/>
      <c r="U16" s="565"/>
      <c r="V16" s="571"/>
      <c r="W16" s="565"/>
      <c r="X16" s="571"/>
      <c r="Y16" s="565"/>
      <c r="Z16" s="571"/>
      <c r="AA16" s="217"/>
      <c r="AB16" s="571"/>
      <c r="AC16" s="173"/>
      <c r="AD16" s="571"/>
      <c r="AE16" s="576"/>
    </row>
    <row r="17" spans="1:31" s="568" customFormat="1" ht="9.75" customHeight="1">
      <c r="A17" s="96"/>
      <c r="B17" s="69" t="s">
        <v>223</v>
      </c>
      <c r="C17" s="568">
        <v>36</v>
      </c>
      <c r="D17" s="568">
        <v>220</v>
      </c>
      <c r="E17" s="51">
        <v>0.0013</v>
      </c>
      <c r="F17" s="50">
        <f t="shared" si="4"/>
        <v>24.036255309884346</v>
      </c>
      <c r="G17" s="176">
        <v>21.73</v>
      </c>
      <c r="H17" s="568">
        <v>1966</v>
      </c>
      <c r="I17" s="576">
        <f>I$19</f>
        <v>34747</v>
      </c>
      <c r="J17" s="50">
        <f t="shared" si="0"/>
        <v>2.4149048054337765</v>
      </c>
      <c r="K17" s="54">
        <f t="shared" si="1"/>
        <v>12.983805158572153</v>
      </c>
      <c r="L17" s="176">
        <f t="shared" si="5"/>
        <v>21.73</v>
      </c>
      <c r="M17" s="575">
        <f>M$19</f>
        <v>33693</v>
      </c>
      <c r="N17" s="569">
        <f t="shared" si="2"/>
        <v>12.589960203982262</v>
      </c>
      <c r="O17" s="565"/>
      <c r="P17" s="569">
        <v>0</v>
      </c>
      <c r="Q17" s="173"/>
      <c r="R17" s="571">
        <v>0</v>
      </c>
      <c r="S17" s="565"/>
      <c r="T17" s="571">
        <v>0</v>
      </c>
      <c r="U17" s="565"/>
      <c r="V17" s="571">
        <v>0</v>
      </c>
      <c r="W17" s="565"/>
      <c r="X17" s="571">
        <v>0</v>
      </c>
      <c r="Y17" s="565"/>
      <c r="Z17" s="571">
        <v>0</v>
      </c>
      <c r="AA17" s="217"/>
      <c r="AB17" s="571">
        <f t="shared" si="3"/>
        <v>0</v>
      </c>
      <c r="AC17" s="173">
        <v>1055</v>
      </c>
      <c r="AD17" s="571">
        <f t="shared" si="3"/>
        <v>0.39421862152973275</v>
      </c>
      <c r="AE17" s="576">
        <f t="shared" si="6"/>
        <v>34748</v>
      </c>
    </row>
    <row r="18" spans="1:31" s="568" customFormat="1" ht="9.75" customHeight="1">
      <c r="A18" s="96"/>
      <c r="B18" s="69" t="s">
        <v>344</v>
      </c>
      <c r="C18" s="568">
        <v>36</v>
      </c>
      <c r="D18" s="568">
        <v>400</v>
      </c>
      <c r="E18" s="51">
        <v>0.0013</v>
      </c>
      <c r="F18" s="50">
        <f t="shared" si="4"/>
        <v>24.036255309884346</v>
      </c>
      <c r="G18" s="176">
        <v>21.73</v>
      </c>
      <c r="H18" s="568">
        <v>1966</v>
      </c>
      <c r="I18" s="576">
        <f>I$19</f>
        <v>34747</v>
      </c>
      <c r="J18" s="50">
        <f t="shared" si="0"/>
        <v>2.4149048054337765</v>
      </c>
      <c r="K18" s="54">
        <f t="shared" si="1"/>
        <v>12.983805158572153</v>
      </c>
      <c r="L18" s="176">
        <f t="shared" si="5"/>
        <v>21.73</v>
      </c>
      <c r="M18" s="575">
        <f>M$19</f>
        <v>33693</v>
      </c>
      <c r="N18" s="569">
        <f t="shared" si="2"/>
        <v>12.589960203982262</v>
      </c>
      <c r="O18" s="565"/>
      <c r="P18" s="569">
        <v>0</v>
      </c>
      <c r="Q18" s="173"/>
      <c r="R18" s="571">
        <v>0</v>
      </c>
      <c r="S18" s="565"/>
      <c r="T18" s="571">
        <v>0</v>
      </c>
      <c r="U18" s="565"/>
      <c r="V18" s="571">
        <v>0</v>
      </c>
      <c r="W18" s="565"/>
      <c r="X18" s="571">
        <v>0</v>
      </c>
      <c r="Y18" s="565"/>
      <c r="Z18" s="571">
        <v>0</v>
      </c>
      <c r="AA18" s="217"/>
      <c r="AB18" s="571">
        <f t="shared" si="3"/>
        <v>0</v>
      </c>
      <c r="AC18" s="173">
        <v>1055</v>
      </c>
      <c r="AD18" s="571">
        <f t="shared" si="3"/>
        <v>0.39421862152973275</v>
      </c>
      <c r="AE18" s="576">
        <f t="shared" si="6"/>
        <v>34748</v>
      </c>
    </row>
    <row r="19" spans="1:31" s="568" customFormat="1" ht="9.75" customHeight="1">
      <c r="A19" s="96"/>
      <c r="B19" s="69"/>
      <c r="C19" s="568">
        <v>36</v>
      </c>
      <c r="D19" s="568">
        <v>271</v>
      </c>
      <c r="E19" s="51">
        <v>0.0013</v>
      </c>
      <c r="F19" s="50">
        <f t="shared" si="4"/>
        <v>24.036255309884346</v>
      </c>
      <c r="G19" s="176">
        <v>21.73</v>
      </c>
      <c r="H19" s="568">
        <v>1966</v>
      </c>
      <c r="I19" s="576">
        <v>34747</v>
      </c>
      <c r="J19" s="50">
        <f t="shared" si="0"/>
        <v>2.4149048054337765</v>
      </c>
      <c r="K19" s="54">
        <f t="shared" si="1"/>
        <v>12.983805158572153</v>
      </c>
      <c r="L19" s="178">
        <f t="shared" si="5"/>
        <v>21.73</v>
      </c>
      <c r="M19" s="576">
        <v>33693</v>
      </c>
      <c r="N19" s="569">
        <f t="shared" si="2"/>
        <v>12.589960203982262</v>
      </c>
      <c r="O19" s="565"/>
      <c r="P19" s="569">
        <v>0</v>
      </c>
      <c r="Q19" s="565"/>
      <c r="R19" s="571">
        <v>0</v>
      </c>
      <c r="S19" s="565"/>
      <c r="T19" s="571">
        <v>0</v>
      </c>
      <c r="U19" s="565"/>
      <c r="V19" s="571">
        <v>0</v>
      </c>
      <c r="W19" s="565"/>
      <c r="X19" s="571">
        <v>0</v>
      </c>
      <c r="Y19" s="565"/>
      <c r="Z19" s="571">
        <v>0</v>
      </c>
      <c r="AA19" s="217"/>
      <c r="AB19" s="571">
        <f t="shared" si="3"/>
        <v>0</v>
      </c>
      <c r="AC19" s="173">
        <v>1055</v>
      </c>
      <c r="AD19" s="571">
        <f t="shared" si="3"/>
        <v>0.39421862152973275</v>
      </c>
      <c r="AE19" s="576">
        <f t="shared" si="6"/>
        <v>34748</v>
      </c>
    </row>
    <row r="20" spans="1:31" s="568" customFormat="1" ht="9.75" customHeight="1">
      <c r="A20" s="96"/>
      <c r="B20" s="69"/>
      <c r="C20" s="568">
        <v>36</v>
      </c>
      <c r="D20" s="568">
        <v>41</v>
      </c>
      <c r="E20" s="51">
        <v>0.0013</v>
      </c>
      <c r="F20" s="50">
        <f t="shared" si="4"/>
        <v>24.036255309884346</v>
      </c>
      <c r="G20" s="176">
        <v>21.73</v>
      </c>
      <c r="H20" s="568">
        <v>1966</v>
      </c>
      <c r="I20" s="576">
        <v>34747</v>
      </c>
      <c r="J20" s="50">
        <f t="shared" si="0"/>
        <v>2.4149048054337765</v>
      </c>
      <c r="K20" s="54">
        <f t="shared" si="1"/>
        <v>12.983805158572153</v>
      </c>
      <c r="L20" s="178">
        <f t="shared" si="5"/>
        <v>21.73</v>
      </c>
      <c r="M20" s="576">
        <v>33693</v>
      </c>
      <c r="N20" s="569">
        <f t="shared" si="2"/>
        <v>12.589960203982262</v>
      </c>
      <c r="O20" s="565"/>
      <c r="P20" s="569">
        <v>0</v>
      </c>
      <c r="Q20" s="565"/>
      <c r="R20" s="571">
        <v>0</v>
      </c>
      <c r="S20" s="565"/>
      <c r="T20" s="571">
        <v>0</v>
      </c>
      <c r="U20" s="565"/>
      <c r="V20" s="571">
        <v>0</v>
      </c>
      <c r="W20" s="565"/>
      <c r="X20" s="571">
        <v>0</v>
      </c>
      <c r="Y20" s="565"/>
      <c r="Z20" s="571">
        <v>0</v>
      </c>
      <c r="AA20" s="217"/>
      <c r="AB20" s="571">
        <f t="shared" si="3"/>
        <v>0</v>
      </c>
      <c r="AC20" s="173">
        <v>1055</v>
      </c>
      <c r="AD20" s="571">
        <f t="shared" si="3"/>
        <v>0.39421862152973275</v>
      </c>
      <c r="AE20" s="576">
        <f t="shared" si="6"/>
        <v>34748</v>
      </c>
    </row>
    <row r="21" spans="1:31" s="568" customFormat="1" ht="9.75" customHeight="1">
      <c r="A21" s="96"/>
      <c r="B21" s="69"/>
      <c r="C21" s="568">
        <v>36</v>
      </c>
      <c r="D21" s="568">
        <v>58</v>
      </c>
      <c r="E21" s="51">
        <v>0.0013</v>
      </c>
      <c r="F21" s="50">
        <f t="shared" si="4"/>
        <v>24.036255309884346</v>
      </c>
      <c r="G21" s="176">
        <v>21.73</v>
      </c>
      <c r="H21" s="568">
        <v>1966</v>
      </c>
      <c r="I21" s="576">
        <v>34747</v>
      </c>
      <c r="J21" s="50">
        <f t="shared" si="0"/>
        <v>2.4149048054337765</v>
      </c>
      <c r="K21" s="54">
        <f t="shared" si="1"/>
        <v>12.983805158572153</v>
      </c>
      <c r="L21" s="178">
        <f t="shared" si="5"/>
        <v>21.73</v>
      </c>
      <c r="M21" s="576">
        <v>33693</v>
      </c>
      <c r="N21" s="569">
        <f t="shared" si="2"/>
        <v>12.589960203982262</v>
      </c>
      <c r="O21" s="565"/>
      <c r="P21" s="571">
        <v>0</v>
      </c>
      <c r="Q21" s="565"/>
      <c r="R21" s="571">
        <v>0</v>
      </c>
      <c r="S21" s="565"/>
      <c r="T21" s="571">
        <v>0</v>
      </c>
      <c r="U21" s="565"/>
      <c r="V21" s="571">
        <v>0</v>
      </c>
      <c r="W21" s="565"/>
      <c r="X21" s="571">
        <v>0</v>
      </c>
      <c r="Y21" s="565"/>
      <c r="Z21" s="571">
        <v>0</v>
      </c>
      <c r="AA21" s="217"/>
      <c r="AB21" s="571">
        <f t="shared" si="3"/>
        <v>0</v>
      </c>
      <c r="AC21" s="173">
        <v>1055</v>
      </c>
      <c r="AD21" s="571">
        <f t="shared" si="3"/>
        <v>0.39421862152973275</v>
      </c>
      <c r="AE21" s="576">
        <f t="shared" si="6"/>
        <v>34748</v>
      </c>
    </row>
    <row r="22" spans="1:31" s="568" customFormat="1" ht="9.75" customHeight="1">
      <c r="A22" s="96"/>
      <c r="B22" s="69" t="s">
        <v>353</v>
      </c>
      <c r="C22" s="568">
        <v>36</v>
      </c>
      <c r="D22" s="568">
        <v>158</v>
      </c>
      <c r="E22" s="51">
        <v>0.0013</v>
      </c>
      <c r="F22" s="50">
        <f t="shared" si="4"/>
        <v>24.036255309884346</v>
      </c>
      <c r="G22" s="176">
        <v>21.73</v>
      </c>
      <c r="H22" s="568">
        <v>1966</v>
      </c>
      <c r="I22" s="576">
        <v>34747</v>
      </c>
      <c r="J22" s="50">
        <f t="shared" si="0"/>
        <v>2.4149048054337765</v>
      </c>
      <c r="K22" s="54">
        <f t="shared" si="1"/>
        <v>12.983805158572153</v>
      </c>
      <c r="L22" s="178">
        <f t="shared" si="5"/>
        <v>21.73</v>
      </c>
      <c r="M22" s="576">
        <v>33693</v>
      </c>
      <c r="N22" s="569">
        <f t="shared" si="2"/>
        <v>12.589960203982262</v>
      </c>
      <c r="O22" s="565"/>
      <c r="P22" s="571">
        <v>0</v>
      </c>
      <c r="Q22" s="565"/>
      <c r="R22" s="571">
        <v>0</v>
      </c>
      <c r="S22" s="565"/>
      <c r="T22" s="571">
        <v>0</v>
      </c>
      <c r="U22" s="565"/>
      <c r="V22" s="571">
        <v>0</v>
      </c>
      <c r="W22" s="565"/>
      <c r="X22" s="571">
        <v>0</v>
      </c>
      <c r="Y22" s="565"/>
      <c r="Z22" s="571">
        <v>0</v>
      </c>
      <c r="AA22" s="217"/>
      <c r="AB22" s="571">
        <f t="shared" si="3"/>
        <v>0</v>
      </c>
      <c r="AC22" s="173">
        <v>1055</v>
      </c>
      <c r="AD22" s="571">
        <f t="shared" si="3"/>
        <v>0.39421862152973275</v>
      </c>
      <c r="AE22" s="576">
        <f t="shared" si="6"/>
        <v>34748</v>
      </c>
    </row>
    <row r="23" spans="1:31" s="568" customFormat="1" ht="9.75" customHeight="1">
      <c r="A23" s="96"/>
      <c r="B23" s="69"/>
      <c r="C23" s="568">
        <v>36</v>
      </c>
      <c r="D23" s="568">
        <v>38</v>
      </c>
      <c r="E23" s="51">
        <v>0.0013</v>
      </c>
      <c r="F23" s="50">
        <f t="shared" si="4"/>
        <v>24.036255309884346</v>
      </c>
      <c r="G23" s="176">
        <v>21.73</v>
      </c>
      <c r="H23" s="568">
        <v>1966</v>
      </c>
      <c r="I23" s="576">
        <v>34747</v>
      </c>
      <c r="J23" s="50">
        <f t="shared" si="0"/>
        <v>2.4149048054337765</v>
      </c>
      <c r="K23" s="54">
        <f t="shared" si="1"/>
        <v>12.983805158572153</v>
      </c>
      <c r="L23" s="178">
        <f t="shared" si="5"/>
        <v>21.73</v>
      </c>
      <c r="M23" s="576">
        <v>33693</v>
      </c>
      <c r="N23" s="569">
        <f t="shared" si="2"/>
        <v>12.589960203982262</v>
      </c>
      <c r="O23" s="565"/>
      <c r="P23" s="571">
        <v>0</v>
      </c>
      <c r="Q23" s="565"/>
      <c r="R23" s="571">
        <v>0</v>
      </c>
      <c r="S23" s="565"/>
      <c r="T23" s="571">
        <v>0</v>
      </c>
      <c r="U23" s="565"/>
      <c r="V23" s="571">
        <v>0</v>
      </c>
      <c r="W23" s="565"/>
      <c r="X23" s="571">
        <v>0</v>
      </c>
      <c r="Y23" s="565"/>
      <c r="Z23" s="571">
        <v>0</v>
      </c>
      <c r="AA23" s="217"/>
      <c r="AB23" s="571">
        <f t="shared" si="3"/>
        <v>0</v>
      </c>
      <c r="AC23" s="173">
        <v>1055</v>
      </c>
      <c r="AD23" s="571">
        <f t="shared" si="3"/>
        <v>0.39421862152973275</v>
      </c>
      <c r="AE23" s="576">
        <f t="shared" si="6"/>
        <v>34748</v>
      </c>
    </row>
    <row r="24" spans="1:31" s="568" customFormat="1" ht="9.75" customHeight="1">
      <c r="A24" s="96"/>
      <c r="B24" s="69"/>
      <c r="C24" s="568">
        <v>36</v>
      </c>
      <c r="D24" s="568">
        <v>71</v>
      </c>
      <c r="E24" s="51">
        <v>0.0013</v>
      </c>
      <c r="F24" s="50">
        <f t="shared" si="4"/>
        <v>24.036255309884346</v>
      </c>
      <c r="G24" s="176">
        <v>21.73</v>
      </c>
      <c r="H24" s="568">
        <v>1966</v>
      </c>
      <c r="I24" s="576">
        <v>34747</v>
      </c>
      <c r="J24" s="50">
        <f t="shared" si="0"/>
        <v>2.4149048054337765</v>
      </c>
      <c r="K24" s="54">
        <f t="shared" si="1"/>
        <v>12.983805158572153</v>
      </c>
      <c r="L24" s="178">
        <f t="shared" si="5"/>
        <v>21.73</v>
      </c>
      <c r="M24" s="576">
        <v>33693</v>
      </c>
      <c r="N24" s="569">
        <f t="shared" si="2"/>
        <v>12.589960203982262</v>
      </c>
      <c r="O24" s="565"/>
      <c r="P24" s="571">
        <v>0</v>
      </c>
      <c r="Q24" s="565"/>
      <c r="R24" s="571">
        <v>0</v>
      </c>
      <c r="S24" s="565"/>
      <c r="T24" s="571">
        <v>0</v>
      </c>
      <c r="U24" s="565"/>
      <c r="V24" s="571">
        <v>0</v>
      </c>
      <c r="W24" s="565"/>
      <c r="X24" s="571">
        <v>0</v>
      </c>
      <c r="Y24" s="565"/>
      <c r="Z24" s="571">
        <v>0</v>
      </c>
      <c r="AA24" s="217"/>
      <c r="AB24" s="571">
        <f t="shared" si="3"/>
        <v>0</v>
      </c>
      <c r="AC24" s="173">
        <v>1055</v>
      </c>
      <c r="AD24" s="571">
        <f t="shared" si="3"/>
        <v>0.39421862152973275</v>
      </c>
      <c r="AE24" s="576">
        <f t="shared" si="6"/>
        <v>34748</v>
      </c>
    </row>
    <row r="25" spans="1:31" s="568" customFormat="1" ht="9.75" customHeight="1">
      <c r="A25" s="96"/>
      <c r="B25" s="69" t="s">
        <v>345</v>
      </c>
      <c r="C25" s="568">
        <v>36</v>
      </c>
      <c r="D25" s="568">
        <v>498</v>
      </c>
      <c r="E25" s="51">
        <v>0.0013</v>
      </c>
      <c r="F25" s="50">
        <f t="shared" si="4"/>
        <v>24.036255309884346</v>
      </c>
      <c r="G25" s="176">
        <v>21.73</v>
      </c>
      <c r="H25" s="568">
        <v>1966</v>
      </c>
      <c r="I25" s="576">
        <v>34747</v>
      </c>
      <c r="J25" s="50">
        <f t="shared" si="0"/>
        <v>2.4149048054337765</v>
      </c>
      <c r="K25" s="54">
        <f t="shared" si="1"/>
        <v>12.983805158572153</v>
      </c>
      <c r="L25" s="178">
        <f t="shared" si="5"/>
        <v>21.73</v>
      </c>
      <c r="M25" s="576">
        <v>33693</v>
      </c>
      <c r="N25" s="569">
        <f t="shared" si="2"/>
        <v>12.589960203982262</v>
      </c>
      <c r="O25" s="565"/>
      <c r="P25" s="571">
        <v>0</v>
      </c>
      <c r="Q25" s="565"/>
      <c r="R25" s="571">
        <v>0</v>
      </c>
      <c r="S25" s="565"/>
      <c r="T25" s="571">
        <v>0</v>
      </c>
      <c r="U25" s="565"/>
      <c r="V25" s="571">
        <v>0</v>
      </c>
      <c r="W25" s="565"/>
      <c r="X25" s="571">
        <v>0</v>
      </c>
      <c r="Y25" s="565"/>
      <c r="Z25" s="571">
        <v>0</v>
      </c>
      <c r="AA25" s="217"/>
      <c r="AB25" s="571">
        <f t="shared" si="3"/>
        <v>0</v>
      </c>
      <c r="AC25" s="173">
        <v>1055</v>
      </c>
      <c r="AD25" s="571">
        <f t="shared" si="3"/>
        <v>0.39421862152973275</v>
      </c>
      <c r="AE25" s="576">
        <f t="shared" si="6"/>
        <v>34748</v>
      </c>
    </row>
    <row r="26" spans="1:31" s="568" customFormat="1" ht="9.75" customHeight="1">
      <c r="A26" s="96"/>
      <c r="B26" s="69" t="s">
        <v>227</v>
      </c>
      <c r="C26" s="568">
        <v>36</v>
      </c>
      <c r="D26" s="568">
        <v>486</v>
      </c>
      <c r="E26" s="51">
        <v>0.001</v>
      </c>
      <c r="F26" s="50">
        <f t="shared" si="4"/>
        <v>21.08119047364523</v>
      </c>
      <c r="G26" s="176">
        <v>20.05</v>
      </c>
      <c r="H26" s="568">
        <v>1966</v>
      </c>
      <c r="I26" s="576">
        <v>34747</v>
      </c>
      <c r="J26" s="50">
        <f t="shared" si="0"/>
        <v>2.4149048054337765</v>
      </c>
      <c r="K26" s="54">
        <f t="shared" si="1"/>
        <v>12.983805158572153</v>
      </c>
      <c r="L26" s="178">
        <f t="shared" si="5"/>
        <v>20.05</v>
      </c>
      <c r="M26" s="576">
        <v>37838</v>
      </c>
      <c r="N26" s="569">
        <f t="shared" si="2"/>
        <v>14.138809669613297</v>
      </c>
      <c r="O26" s="565"/>
      <c r="P26" s="571">
        <v>0</v>
      </c>
      <c r="Q26" s="565"/>
      <c r="R26" s="571">
        <v>0</v>
      </c>
      <c r="S26" s="565"/>
      <c r="T26" s="571">
        <v>0</v>
      </c>
      <c r="U26" s="565"/>
      <c r="V26" s="571">
        <v>0</v>
      </c>
      <c r="W26" s="565"/>
      <c r="X26" s="571">
        <v>0</v>
      </c>
      <c r="Y26" s="565"/>
      <c r="Z26" s="571">
        <v>0</v>
      </c>
      <c r="AA26" s="217"/>
      <c r="AB26" s="571">
        <f t="shared" si="3"/>
        <v>0</v>
      </c>
      <c r="AC26" s="173">
        <v>1055</v>
      </c>
      <c r="AD26" s="571">
        <f t="shared" si="3"/>
        <v>0.39421862152973275</v>
      </c>
      <c r="AE26" s="576">
        <f t="shared" si="6"/>
        <v>38893</v>
      </c>
    </row>
    <row r="27" spans="1:31" s="568" customFormat="1" ht="9.75" customHeight="1">
      <c r="A27" s="96"/>
      <c r="B27" s="69" t="s">
        <v>360</v>
      </c>
      <c r="C27" s="568">
        <v>36</v>
      </c>
      <c r="D27" s="568">
        <v>502</v>
      </c>
      <c r="E27" s="51">
        <v>0.001</v>
      </c>
      <c r="F27" s="50">
        <f t="shared" si="4"/>
        <v>21.08119047364523</v>
      </c>
      <c r="G27" s="176">
        <v>20.05</v>
      </c>
      <c r="H27" s="568">
        <v>1966</v>
      </c>
      <c r="I27" s="576">
        <v>34747</v>
      </c>
      <c r="J27" s="50">
        <f t="shared" si="0"/>
        <v>2.4149048054337765</v>
      </c>
      <c r="K27" s="54">
        <f t="shared" si="1"/>
        <v>12.983805158572153</v>
      </c>
      <c r="L27" s="178">
        <f t="shared" si="5"/>
        <v>20.05</v>
      </c>
      <c r="M27" s="576">
        <v>37838</v>
      </c>
      <c r="N27" s="569">
        <f t="shared" si="2"/>
        <v>14.138809669613297</v>
      </c>
      <c r="O27" s="565"/>
      <c r="P27" s="571">
        <v>0</v>
      </c>
      <c r="Q27" s="565"/>
      <c r="R27" s="571">
        <v>0</v>
      </c>
      <c r="S27" s="565"/>
      <c r="T27" s="571">
        <v>0</v>
      </c>
      <c r="U27" s="565"/>
      <c r="V27" s="571">
        <v>0</v>
      </c>
      <c r="W27" s="565"/>
      <c r="X27" s="571">
        <v>0</v>
      </c>
      <c r="Y27" s="565"/>
      <c r="Z27" s="571">
        <v>0</v>
      </c>
      <c r="AA27" s="217"/>
      <c r="AB27" s="571">
        <f t="shared" si="3"/>
        <v>0</v>
      </c>
      <c r="AC27" s="173">
        <v>1055</v>
      </c>
      <c r="AD27" s="571">
        <f t="shared" si="3"/>
        <v>0.39421862152973275</v>
      </c>
      <c r="AE27" s="576">
        <f t="shared" si="6"/>
        <v>38893</v>
      </c>
    </row>
    <row r="28" spans="1:31" s="568" customFormat="1" ht="9.75" customHeight="1">
      <c r="A28" s="96"/>
      <c r="B28" s="69"/>
      <c r="E28" s="51"/>
      <c r="F28" s="50"/>
      <c r="G28" s="176"/>
      <c r="I28" s="576"/>
      <c r="J28" s="50"/>
      <c r="K28" s="54"/>
      <c r="L28" s="178"/>
      <c r="M28" s="576"/>
      <c r="N28" s="569"/>
      <c r="O28" s="565"/>
      <c r="P28" s="571"/>
      <c r="Q28" s="565"/>
      <c r="R28" s="571"/>
      <c r="S28" s="565"/>
      <c r="T28" s="571"/>
      <c r="U28" s="565"/>
      <c r="V28" s="571"/>
      <c r="W28" s="565"/>
      <c r="X28" s="571"/>
      <c r="Y28" s="565"/>
      <c r="Z28" s="571"/>
      <c r="AA28" s="217"/>
      <c r="AB28" s="571"/>
      <c r="AC28" s="565"/>
      <c r="AD28" s="571"/>
      <c r="AE28" s="576"/>
    </row>
    <row r="29" spans="1:31" s="568" customFormat="1" ht="9.75" customHeight="1">
      <c r="A29" s="96" t="s">
        <v>352</v>
      </c>
      <c r="B29" s="69" t="s">
        <v>356</v>
      </c>
      <c r="C29" s="568">
        <v>42</v>
      </c>
      <c r="D29" s="568">
        <v>459</v>
      </c>
      <c r="E29" s="51">
        <v>0.001</v>
      </c>
      <c r="F29" s="50">
        <f t="shared" si="4"/>
        <v>31.799471676442156</v>
      </c>
      <c r="G29" s="176">
        <v>25.9</v>
      </c>
      <c r="H29" s="568">
        <v>1966</v>
      </c>
      <c r="I29" s="576">
        <v>46662</v>
      </c>
      <c r="J29" s="50">
        <f t="shared" si="0"/>
        <v>2.2925909959899897</v>
      </c>
      <c r="K29" s="54">
        <f t="shared" si="1"/>
        <v>16.55291905805681</v>
      </c>
      <c r="L29" s="178">
        <f t="shared" si="5"/>
        <v>25.9</v>
      </c>
      <c r="M29" s="576">
        <v>45588</v>
      </c>
      <c r="N29" s="569">
        <f t="shared" si="2"/>
        <v>16.171927350278466</v>
      </c>
      <c r="O29" s="565"/>
      <c r="P29" s="571">
        <v>0</v>
      </c>
      <c r="Q29" s="565"/>
      <c r="R29" s="571">
        <v>0</v>
      </c>
      <c r="S29" s="565"/>
      <c r="T29" s="571">
        <v>0</v>
      </c>
      <c r="U29" s="565"/>
      <c r="V29" s="571">
        <v>0</v>
      </c>
      <c r="W29" s="565"/>
      <c r="X29" s="571">
        <v>0</v>
      </c>
      <c r="Y29" s="565"/>
      <c r="Z29" s="571">
        <v>0</v>
      </c>
      <c r="AA29" s="217"/>
      <c r="AB29" s="571">
        <f t="shared" si="3"/>
        <v>0</v>
      </c>
      <c r="AC29" s="173">
        <v>1075</v>
      </c>
      <c r="AD29" s="571">
        <f t="shared" si="3"/>
        <v>0.38134644866081757</v>
      </c>
      <c r="AE29" s="576">
        <f t="shared" si="6"/>
        <v>46663</v>
      </c>
    </row>
    <row r="30" spans="2:31" s="568" customFormat="1" ht="9.75" customHeight="1">
      <c r="B30" s="69" t="s">
        <v>346</v>
      </c>
      <c r="C30" s="568">
        <v>42</v>
      </c>
      <c r="D30" s="568">
        <v>128</v>
      </c>
      <c r="E30" s="51">
        <v>0.001</v>
      </c>
      <c r="F30" s="50">
        <f t="shared" si="4"/>
        <v>31.799471676442156</v>
      </c>
      <c r="G30" s="176">
        <v>25.9</v>
      </c>
      <c r="H30" s="568">
        <v>1966</v>
      </c>
      <c r="I30" s="576">
        <v>46662</v>
      </c>
      <c r="J30" s="50">
        <f t="shared" si="0"/>
        <v>2.2925909959899897</v>
      </c>
      <c r="K30" s="54">
        <f t="shared" si="1"/>
        <v>16.55291905805681</v>
      </c>
      <c r="L30" s="178">
        <f t="shared" si="5"/>
        <v>25.9</v>
      </c>
      <c r="M30" s="576">
        <v>45588</v>
      </c>
      <c r="N30" s="569">
        <f t="shared" si="2"/>
        <v>16.171927350278466</v>
      </c>
      <c r="O30" s="565"/>
      <c r="P30" s="571">
        <v>0</v>
      </c>
      <c r="Q30" s="565"/>
      <c r="R30" s="571">
        <v>0</v>
      </c>
      <c r="S30" s="565"/>
      <c r="T30" s="571">
        <v>0</v>
      </c>
      <c r="U30" s="565"/>
      <c r="V30" s="571">
        <v>0</v>
      </c>
      <c r="W30" s="565"/>
      <c r="X30" s="571">
        <v>0</v>
      </c>
      <c r="Y30" s="565"/>
      <c r="Z30" s="571">
        <v>0</v>
      </c>
      <c r="AA30" s="217"/>
      <c r="AB30" s="571">
        <f t="shared" si="3"/>
        <v>0</v>
      </c>
      <c r="AC30" s="173">
        <v>1075</v>
      </c>
      <c r="AD30" s="571">
        <f t="shared" si="3"/>
        <v>0.38134644866081757</v>
      </c>
      <c r="AE30" s="576">
        <f t="shared" si="6"/>
        <v>46663</v>
      </c>
    </row>
    <row r="31" spans="2:31" s="568" customFormat="1" ht="9.75" customHeight="1">
      <c r="B31" s="69"/>
      <c r="C31" s="568">
        <v>42</v>
      </c>
      <c r="D31" s="568">
        <v>325</v>
      </c>
      <c r="E31" s="51">
        <v>0.001</v>
      </c>
      <c r="F31" s="50">
        <f t="shared" si="4"/>
        <v>31.799471676442156</v>
      </c>
      <c r="G31" s="176">
        <v>25.9</v>
      </c>
      <c r="H31" s="568">
        <v>1966</v>
      </c>
      <c r="I31" s="576">
        <v>46662</v>
      </c>
      <c r="J31" s="50">
        <f t="shared" si="0"/>
        <v>2.2925909959899897</v>
      </c>
      <c r="K31" s="54">
        <f t="shared" si="1"/>
        <v>16.55291905805681</v>
      </c>
      <c r="L31" s="178">
        <f t="shared" si="5"/>
        <v>25.9</v>
      </c>
      <c r="M31" s="576">
        <v>45588</v>
      </c>
      <c r="N31" s="569">
        <f t="shared" si="2"/>
        <v>16.171927350278466</v>
      </c>
      <c r="O31" s="565"/>
      <c r="P31" s="571">
        <v>0</v>
      </c>
      <c r="Q31" s="565"/>
      <c r="R31" s="571">
        <v>0</v>
      </c>
      <c r="S31" s="565"/>
      <c r="T31" s="571">
        <v>0</v>
      </c>
      <c r="U31" s="565"/>
      <c r="V31" s="571">
        <v>0</v>
      </c>
      <c r="W31" s="565"/>
      <c r="X31" s="571">
        <v>0</v>
      </c>
      <c r="Y31" s="565"/>
      <c r="Z31" s="571">
        <v>0</v>
      </c>
      <c r="AA31" s="217"/>
      <c r="AB31" s="571">
        <f t="shared" si="3"/>
        <v>0</v>
      </c>
      <c r="AC31" s="173">
        <v>1075</v>
      </c>
      <c r="AD31" s="571">
        <f t="shared" si="3"/>
        <v>0.38134644866081757</v>
      </c>
      <c r="AE31" s="576">
        <f t="shared" si="6"/>
        <v>46663</v>
      </c>
    </row>
    <row r="32" spans="2:31" s="568" customFormat="1" ht="9.75" customHeight="1">
      <c r="B32" s="69" t="s">
        <v>347</v>
      </c>
      <c r="C32" s="568">
        <v>42</v>
      </c>
      <c r="D32" s="568">
        <v>94</v>
      </c>
      <c r="E32" s="51">
        <v>0.001</v>
      </c>
      <c r="F32" s="50">
        <f t="shared" si="4"/>
        <v>31.799471676442156</v>
      </c>
      <c r="G32" s="176">
        <v>25.9</v>
      </c>
      <c r="H32" s="568">
        <v>1966</v>
      </c>
      <c r="I32" s="576">
        <v>46662</v>
      </c>
      <c r="J32" s="50">
        <f t="shared" si="0"/>
        <v>2.2925909959899897</v>
      </c>
      <c r="K32" s="54">
        <f t="shared" si="1"/>
        <v>16.55291905805681</v>
      </c>
      <c r="L32" s="178">
        <f t="shared" si="5"/>
        <v>25.9</v>
      </c>
      <c r="M32" s="576">
        <v>45588</v>
      </c>
      <c r="N32" s="569">
        <f t="shared" si="2"/>
        <v>16.171927350278466</v>
      </c>
      <c r="O32" s="565"/>
      <c r="P32" s="571">
        <v>0</v>
      </c>
      <c r="Q32" s="565"/>
      <c r="R32" s="571">
        <v>0</v>
      </c>
      <c r="S32" s="565"/>
      <c r="T32" s="571">
        <v>0</v>
      </c>
      <c r="U32" s="565"/>
      <c r="V32" s="571">
        <v>0</v>
      </c>
      <c r="W32" s="565"/>
      <c r="X32" s="571">
        <v>0</v>
      </c>
      <c r="Y32" s="565"/>
      <c r="Z32" s="571">
        <v>0</v>
      </c>
      <c r="AA32" s="217"/>
      <c r="AB32" s="571">
        <f t="shared" si="3"/>
        <v>0</v>
      </c>
      <c r="AC32" s="173">
        <v>1075</v>
      </c>
      <c r="AD32" s="571">
        <f t="shared" si="3"/>
        <v>0.38134644866081757</v>
      </c>
      <c r="AE32" s="576">
        <f t="shared" si="6"/>
        <v>46663</v>
      </c>
    </row>
    <row r="33" spans="1:31" s="568" customFormat="1" ht="9.75" customHeight="1">
      <c r="A33" s="96"/>
      <c r="B33" s="69"/>
      <c r="C33" s="568">
        <v>42</v>
      </c>
      <c r="D33" s="568">
        <v>390</v>
      </c>
      <c r="E33" s="51">
        <v>0.001</v>
      </c>
      <c r="F33" s="50">
        <f t="shared" si="4"/>
        <v>31.799471676442156</v>
      </c>
      <c r="G33" s="176">
        <v>25.9</v>
      </c>
      <c r="H33" s="568">
        <v>1966</v>
      </c>
      <c r="I33" s="576">
        <v>46662</v>
      </c>
      <c r="J33" s="50">
        <f t="shared" si="0"/>
        <v>2.2925909959899897</v>
      </c>
      <c r="K33" s="54">
        <f t="shared" si="1"/>
        <v>16.55291905805681</v>
      </c>
      <c r="L33" s="178">
        <f t="shared" si="5"/>
        <v>25.9</v>
      </c>
      <c r="M33" s="576">
        <v>45588</v>
      </c>
      <c r="N33" s="569">
        <f t="shared" si="2"/>
        <v>16.171927350278466</v>
      </c>
      <c r="O33" s="565"/>
      <c r="P33" s="571">
        <v>0</v>
      </c>
      <c r="Q33" s="565"/>
      <c r="R33" s="571">
        <v>0</v>
      </c>
      <c r="S33" s="565"/>
      <c r="T33" s="571">
        <v>0</v>
      </c>
      <c r="U33" s="565"/>
      <c r="V33" s="571">
        <v>0</v>
      </c>
      <c r="W33" s="565"/>
      <c r="X33" s="571">
        <v>0</v>
      </c>
      <c r="Y33" s="565"/>
      <c r="Z33" s="571">
        <v>0</v>
      </c>
      <c r="AA33" s="217"/>
      <c r="AB33" s="571">
        <f t="shared" si="3"/>
        <v>0</v>
      </c>
      <c r="AC33" s="173">
        <v>1075</v>
      </c>
      <c r="AD33" s="571">
        <f t="shared" si="3"/>
        <v>0.38134644866081757</v>
      </c>
      <c r="AE33" s="576">
        <f t="shared" si="6"/>
        <v>46663</v>
      </c>
    </row>
    <row r="34" spans="1:31" s="568" customFormat="1" ht="9.75" customHeight="1">
      <c r="A34" s="96" t="s">
        <v>352</v>
      </c>
      <c r="B34" s="69" t="s">
        <v>354</v>
      </c>
      <c r="C34" s="568">
        <v>42</v>
      </c>
      <c r="D34" s="568">
        <v>64</v>
      </c>
      <c r="E34" s="51">
        <v>0.001</v>
      </c>
      <c r="F34" s="50">
        <f t="shared" si="4"/>
        <v>31.799471676442156</v>
      </c>
      <c r="G34" s="176">
        <v>25.9</v>
      </c>
      <c r="H34" s="568">
        <v>1966</v>
      </c>
      <c r="I34" s="576">
        <v>46662</v>
      </c>
      <c r="J34" s="50">
        <f t="shared" si="0"/>
        <v>2.2925909959899897</v>
      </c>
      <c r="K34" s="54">
        <f t="shared" si="1"/>
        <v>16.55291905805681</v>
      </c>
      <c r="L34" s="178">
        <f t="shared" si="5"/>
        <v>25.9</v>
      </c>
      <c r="M34" s="576">
        <v>45588</v>
      </c>
      <c r="N34" s="569">
        <f t="shared" si="2"/>
        <v>16.171927350278466</v>
      </c>
      <c r="O34" s="565"/>
      <c r="P34" s="571">
        <v>0</v>
      </c>
      <c r="Q34" s="565"/>
      <c r="R34" s="571">
        <v>0</v>
      </c>
      <c r="S34" s="565"/>
      <c r="T34" s="571">
        <v>0</v>
      </c>
      <c r="U34" s="565"/>
      <c r="V34" s="571">
        <v>0</v>
      </c>
      <c r="W34" s="565"/>
      <c r="X34" s="571">
        <v>0</v>
      </c>
      <c r="Y34" s="565"/>
      <c r="Z34" s="571">
        <v>0</v>
      </c>
      <c r="AA34" s="217"/>
      <c r="AB34" s="571">
        <f t="shared" si="3"/>
        <v>0</v>
      </c>
      <c r="AC34" s="173">
        <v>1075</v>
      </c>
      <c r="AD34" s="571">
        <f t="shared" si="3"/>
        <v>0.38134644866081757</v>
      </c>
      <c r="AE34" s="576">
        <f t="shared" si="6"/>
        <v>46663</v>
      </c>
    </row>
    <row r="35" spans="1:31" s="568" customFormat="1" ht="9.75" customHeight="1">
      <c r="A35" s="96" t="s">
        <v>354</v>
      </c>
      <c r="B35" s="69" t="s">
        <v>352</v>
      </c>
      <c r="C35" s="568">
        <v>42</v>
      </c>
      <c r="D35" s="568">
        <v>422</v>
      </c>
      <c r="E35" s="51">
        <v>0.001</v>
      </c>
      <c r="F35" s="50">
        <f t="shared" si="4"/>
        <v>31.799471676442156</v>
      </c>
      <c r="G35" s="176">
        <v>27.29</v>
      </c>
      <c r="H35" s="568">
        <v>1966</v>
      </c>
      <c r="I35" s="576">
        <v>46797</v>
      </c>
      <c r="J35" s="50">
        <f t="shared" si="0"/>
        <v>2.2914136427595055</v>
      </c>
      <c r="K35" s="54">
        <f t="shared" si="1"/>
        <v>16.59228378147538</v>
      </c>
      <c r="L35" s="178">
        <f t="shared" si="5"/>
        <v>27.29</v>
      </c>
      <c r="M35" s="576">
        <v>45723</v>
      </c>
      <c r="N35" s="569">
        <f t="shared" si="2"/>
        <v>16.21148773084597</v>
      </c>
      <c r="O35" s="565"/>
      <c r="P35" s="571">
        <v>0</v>
      </c>
      <c r="Q35" s="565"/>
      <c r="R35" s="571">
        <v>0</v>
      </c>
      <c r="S35" s="565"/>
      <c r="T35" s="571">
        <v>0</v>
      </c>
      <c r="U35" s="565"/>
      <c r="V35" s="571">
        <v>0</v>
      </c>
      <c r="W35" s="565"/>
      <c r="X35" s="571">
        <v>0</v>
      </c>
      <c r="Y35" s="565"/>
      <c r="Z35" s="571">
        <v>0</v>
      </c>
      <c r="AA35" s="217"/>
      <c r="AB35" s="571">
        <f t="shared" si="3"/>
        <v>0</v>
      </c>
      <c r="AC35" s="173">
        <v>1075</v>
      </c>
      <c r="AD35" s="571">
        <f t="shared" si="3"/>
        <v>0.38115060933577016</v>
      </c>
      <c r="AE35" s="576">
        <f t="shared" si="6"/>
        <v>46798</v>
      </c>
    </row>
    <row r="36" spans="2:31" s="568" customFormat="1" ht="9.75" customHeight="1">
      <c r="B36" s="96" t="s">
        <v>348</v>
      </c>
      <c r="C36" s="568">
        <v>42</v>
      </c>
      <c r="D36" s="568">
        <v>46</v>
      </c>
      <c r="E36" s="51">
        <v>0.001</v>
      </c>
      <c r="F36" s="50">
        <f t="shared" si="4"/>
        <v>31.799471676442156</v>
      </c>
      <c r="G36" s="176">
        <v>39.9</v>
      </c>
      <c r="H36" s="568">
        <v>1966</v>
      </c>
      <c r="I36" s="576">
        <v>47189</v>
      </c>
      <c r="J36" s="50">
        <f t="shared" si="0"/>
        <v>2.2880166139534612</v>
      </c>
      <c r="K36" s="54">
        <f t="shared" si="1"/>
        <v>16.7064666264127</v>
      </c>
      <c r="L36" s="178">
        <f t="shared" si="5"/>
        <v>39.9</v>
      </c>
      <c r="M36" s="576">
        <v>46115</v>
      </c>
      <c r="N36" s="569">
        <f t="shared" si="2"/>
        <v>16.32623510727122</v>
      </c>
      <c r="O36" s="565"/>
      <c r="P36" s="571">
        <v>0</v>
      </c>
      <c r="Q36" s="565"/>
      <c r="R36" s="571">
        <v>0</v>
      </c>
      <c r="S36" s="565"/>
      <c r="T36" s="571">
        <v>0</v>
      </c>
      <c r="U36" s="565"/>
      <c r="V36" s="571">
        <v>0</v>
      </c>
      <c r="W36" s="565"/>
      <c r="X36" s="571">
        <v>0</v>
      </c>
      <c r="Y36" s="565"/>
      <c r="Z36" s="571">
        <v>0</v>
      </c>
      <c r="AA36" s="217"/>
      <c r="AB36" s="571">
        <f t="shared" si="3"/>
        <v>0</v>
      </c>
      <c r="AC36" s="173">
        <v>1075</v>
      </c>
      <c r="AD36" s="571">
        <f t="shared" si="3"/>
        <v>0.38058555221330503</v>
      </c>
      <c r="AE36" s="576">
        <f t="shared" si="6"/>
        <v>47190</v>
      </c>
    </row>
    <row r="37" spans="1:31" s="568" customFormat="1" ht="9.75" customHeight="1">
      <c r="A37" s="96"/>
      <c r="B37" s="69"/>
      <c r="C37" s="568">
        <v>42</v>
      </c>
      <c r="D37" s="568">
        <v>424</v>
      </c>
      <c r="E37" s="51">
        <v>0.001</v>
      </c>
      <c r="F37" s="50">
        <f t="shared" si="4"/>
        <v>31.799471676442156</v>
      </c>
      <c r="G37" s="176">
        <v>39.9</v>
      </c>
      <c r="H37" s="568">
        <v>1966</v>
      </c>
      <c r="I37" s="576">
        <v>47189</v>
      </c>
      <c r="J37" s="50">
        <f t="shared" si="0"/>
        <v>2.2880166139534612</v>
      </c>
      <c r="K37" s="54">
        <f t="shared" si="1"/>
        <v>16.7064666264127</v>
      </c>
      <c r="L37" s="178">
        <f t="shared" si="5"/>
        <v>39.9</v>
      </c>
      <c r="M37" s="576">
        <v>46115</v>
      </c>
      <c r="N37" s="569">
        <f t="shared" si="2"/>
        <v>16.32623510727122</v>
      </c>
      <c r="O37" s="565"/>
      <c r="P37" s="571">
        <v>0</v>
      </c>
      <c r="Q37" s="565"/>
      <c r="R37" s="571">
        <v>0</v>
      </c>
      <c r="S37" s="565"/>
      <c r="T37" s="571">
        <v>0</v>
      </c>
      <c r="U37" s="565"/>
      <c r="V37" s="571">
        <v>0</v>
      </c>
      <c r="W37" s="565"/>
      <c r="X37" s="571">
        <v>0</v>
      </c>
      <c r="Y37" s="565"/>
      <c r="Z37" s="571">
        <v>0</v>
      </c>
      <c r="AA37" s="217"/>
      <c r="AB37" s="571">
        <f t="shared" si="3"/>
        <v>0</v>
      </c>
      <c r="AC37" s="173">
        <v>1075</v>
      </c>
      <c r="AD37" s="571">
        <f t="shared" si="3"/>
        <v>0.38058555221330503</v>
      </c>
      <c r="AE37" s="576">
        <f t="shared" si="6"/>
        <v>47190</v>
      </c>
    </row>
    <row r="38" spans="1:31" s="568" customFormat="1" ht="9.75" customHeight="1">
      <c r="A38" s="96"/>
      <c r="B38" s="69"/>
      <c r="E38" s="51"/>
      <c r="F38" s="50"/>
      <c r="G38" s="176"/>
      <c r="I38" s="576"/>
      <c r="J38" s="50"/>
      <c r="K38" s="54"/>
      <c r="L38" s="178"/>
      <c r="M38" s="576"/>
      <c r="N38" s="569"/>
      <c r="O38" s="565"/>
      <c r="P38" s="571"/>
      <c r="Q38" s="565"/>
      <c r="R38" s="571"/>
      <c r="S38" s="565"/>
      <c r="T38" s="571"/>
      <c r="U38" s="565"/>
      <c r="V38" s="571"/>
      <c r="W38" s="565"/>
      <c r="X38" s="571"/>
      <c r="Y38" s="565"/>
      <c r="Z38" s="571"/>
      <c r="AA38" s="217"/>
      <c r="AB38" s="571"/>
      <c r="AC38" s="565"/>
      <c r="AD38" s="571"/>
      <c r="AE38" s="576"/>
    </row>
    <row r="39" spans="1:31" s="568" customFormat="1" ht="9.75" customHeight="1">
      <c r="A39" s="96" t="s">
        <v>157</v>
      </c>
      <c r="B39" s="69"/>
      <c r="C39" s="568">
        <v>42</v>
      </c>
      <c r="D39" s="568">
        <v>90</v>
      </c>
      <c r="E39" s="51">
        <v>0.001</v>
      </c>
      <c r="F39" s="50">
        <f t="shared" si="4"/>
        <v>31.799471676442156</v>
      </c>
      <c r="G39" s="176">
        <v>39.9</v>
      </c>
      <c r="H39" s="568">
        <v>1966</v>
      </c>
      <c r="I39" s="576">
        <f>I$40</f>
        <v>47189</v>
      </c>
      <c r="J39" s="50">
        <f t="shared" si="0"/>
        <v>2.2880166139534612</v>
      </c>
      <c r="K39" s="54">
        <f t="shared" si="1"/>
        <v>16.7064666264127</v>
      </c>
      <c r="L39" s="178">
        <f t="shared" si="5"/>
        <v>39.9</v>
      </c>
      <c r="M39" s="576">
        <f>M$40</f>
        <v>46115</v>
      </c>
      <c r="N39" s="569">
        <f t="shared" si="2"/>
        <v>16.32623510727122</v>
      </c>
      <c r="O39" s="565"/>
      <c r="P39" s="571">
        <v>0</v>
      </c>
      <c r="Q39" s="565"/>
      <c r="R39" s="571">
        <v>0</v>
      </c>
      <c r="S39" s="565"/>
      <c r="T39" s="571">
        <v>0</v>
      </c>
      <c r="U39" s="565"/>
      <c r="V39" s="571">
        <v>0</v>
      </c>
      <c r="W39" s="565"/>
      <c r="X39" s="571">
        <v>0</v>
      </c>
      <c r="Y39" s="565"/>
      <c r="Z39" s="571">
        <v>0</v>
      </c>
      <c r="AA39" s="217"/>
      <c r="AB39" s="571">
        <f t="shared" si="3"/>
        <v>0</v>
      </c>
      <c r="AC39" s="173">
        <v>1075</v>
      </c>
      <c r="AD39" s="571">
        <f t="shared" si="3"/>
        <v>0.38058555221330503</v>
      </c>
      <c r="AE39" s="576">
        <f t="shared" si="6"/>
        <v>47190</v>
      </c>
    </row>
    <row r="40" spans="1:31" s="568" customFormat="1" ht="9.75" customHeight="1">
      <c r="A40" s="96" t="s">
        <v>157</v>
      </c>
      <c r="B40" s="69" t="s">
        <v>354</v>
      </c>
      <c r="C40" s="568">
        <v>42</v>
      </c>
      <c r="D40" s="568">
        <v>389</v>
      </c>
      <c r="E40" s="51">
        <v>0.001</v>
      </c>
      <c r="F40" s="50">
        <f t="shared" si="4"/>
        <v>31.799471676442156</v>
      </c>
      <c r="G40" s="176">
        <v>39.9</v>
      </c>
      <c r="H40" s="568">
        <v>1966</v>
      </c>
      <c r="I40" s="576">
        <v>47189</v>
      </c>
      <c r="J40" s="50">
        <f t="shared" si="0"/>
        <v>2.2880166139534612</v>
      </c>
      <c r="K40" s="54">
        <f t="shared" si="1"/>
        <v>16.7064666264127</v>
      </c>
      <c r="L40" s="178">
        <f t="shared" si="5"/>
        <v>39.9</v>
      </c>
      <c r="M40" s="576">
        <v>46115</v>
      </c>
      <c r="N40" s="569">
        <f t="shared" si="2"/>
        <v>16.32623510727122</v>
      </c>
      <c r="O40" s="565"/>
      <c r="P40" s="571">
        <v>0</v>
      </c>
      <c r="Q40" s="565"/>
      <c r="R40" s="571">
        <v>0</v>
      </c>
      <c r="S40" s="565"/>
      <c r="T40" s="571">
        <v>0</v>
      </c>
      <c r="U40" s="565"/>
      <c r="V40" s="571">
        <v>0</v>
      </c>
      <c r="W40" s="565"/>
      <c r="X40" s="571">
        <v>0</v>
      </c>
      <c r="Y40" s="565"/>
      <c r="Z40" s="571">
        <v>0</v>
      </c>
      <c r="AA40" s="217"/>
      <c r="AB40" s="571">
        <f t="shared" si="3"/>
        <v>0</v>
      </c>
      <c r="AC40" s="173">
        <v>1075</v>
      </c>
      <c r="AD40" s="571">
        <f t="shared" si="3"/>
        <v>0.38058555221330503</v>
      </c>
      <c r="AE40" s="576">
        <f t="shared" si="6"/>
        <v>47190</v>
      </c>
    </row>
    <row r="41" spans="2:31" s="568" customFormat="1" ht="9.75" customHeight="1">
      <c r="B41" s="96" t="s">
        <v>233</v>
      </c>
      <c r="C41" s="568">
        <v>42</v>
      </c>
      <c r="D41" s="568">
        <v>60</v>
      </c>
      <c r="E41" s="51">
        <v>0.001</v>
      </c>
      <c r="F41" s="50">
        <f t="shared" si="4"/>
        <v>31.799471676442156</v>
      </c>
      <c r="G41" s="176">
        <v>39.9</v>
      </c>
      <c r="H41" s="568">
        <v>1966</v>
      </c>
      <c r="I41" s="576">
        <v>47189</v>
      </c>
      <c r="J41" s="50">
        <f t="shared" si="0"/>
        <v>2.2880166139534612</v>
      </c>
      <c r="K41" s="54">
        <f t="shared" si="1"/>
        <v>16.7064666264127</v>
      </c>
      <c r="L41" s="178">
        <f t="shared" si="5"/>
        <v>39.9</v>
      </c>
      <c r="M41" s="576">
        <v>46115</v>
      </c>
      <c r="N41" s="569">
        <f t="shared" si="2"/>
        <v>16.32623510727122</v>
      </c>
      <c r="O41" s="565"/>
      <c r="P41" s="571">
        <v>0</v>
      </c>
      <c r="Q41" s="565"/>
      <c r="R41" s="571">
        <v>0</v>
      </c>
      <c r="S41" s="565"/>
      <c r="T41" s="571">
        <v>0</v>
      </c>
      <c r="U41" s="565"/>
      <c r="V41" s="571">
        <v>0</v>
      </c>
      <c r="W41" s="565"/>
      <c r="X41" s="571">
        <v>0</v>
      </c>
      <c r="Y41" s="565"/>
      <c r="Z41" s="571">
        <v>0</v>
      </c>
      <c r="AA41" s="217"/>
      <c r="AB41" s="571">
        <f t="shared" si="3"/>
        <v>0</v>
      </c>
      <c r="AC41" s="173">
        <v>1075</v>
      </c>
      <c r="AD41" s="571">
        <f t="shared" si="3"/>
        <v>0.38058555221330503</v>
      </c>
      <c r="AE41" s="576">
        <f t="shared" si="6"/>
        <v>47190</v>
      </c>
    </row>
    <row r="42" spans="1:31" s="568" customFormat="1" ht="9.75" customHeight="1">
      <c r="A42" s="96"/>
      <c r="B42" s="69"/>
      <c r="C42" s="568">
        <v>42</v>
      </c>
      <c r="D42" s="568">
        <v>127</v>
      </c>
      <c r="E42" s="51">
        <v>0.0021</v>
      </c>
      <c r="F42" s="50">
        <f t="shared" si="4"/>
        <v>46.08181243931036</v>
      </c>
      <c r="G42" s="176">
        <v>39.9</v>
      </c>
      <c r="H42" s="568">
        <v>1966</v>
      </c>
      <c r="I42" s="576">
        <v>47189</v>
      </c>
      <c r="J42" s="50">
        <f t="shared" si="0"/>
        <v>2.2880166139534612</v>
      </c>
      <c r="K42" s="54">
        <f t="shared" si="1"/>
        <v>16.7064666264127</v>
      </c>
      <c r="L42" s="178">
        <f t="shared" si="5"/>
        <v>39.9</v>
      </c>
      <c r="M42" s="576">
        <v>46115</v>
      </c>
      <c r="N42" s="569">
        <f t="shared" si="2"/>
        <v>16.32623510727122</v>
      </c>
      <c r="O42" s="565"/>
      <c r="P42" s="571">
        <v>0</v>
      </c>
      <c r="Q42" s="565"/>
      <c r="R42" s="571">
        <v>0</v>
      </c>
      <c r="S42" s="565"/>
      <c r="T42" s="571">
        <v>0</v>
      </c>
      <c r="U42" s="565"/>
      <c r="V42" s="571">
        <v>0</v>
      </c>
      <c r="W42" s="565"/>
      <c r="X42" s="571">
        <v>0</v>
      </c>
      <c r="Y42" s="565"/>
      <c r="Z42" s="571">
        <v>0</v>
      </c>
      <c r="AA42" s="217"/>
      <c r="AB42" s="571">
        <f t="shared" si="3"/>
        <v>0</v>
      </c>
      <c r="AC42" s="173">
        <v>1075</v>
      </c>
      <c r="AD42" s="571">
        <f t="shared" si="3"/>
        <v>0.38058555221330503</v>
      </c>
      <c r="AE42" s="576">
        <f t="shared" si="6"/>
        <v>47190</v>
      </c>
    </row>
    <row r="43" spans="1:31" s="568" customFormat="1" ht="9.75" customHeight="1">
      <c r="A43" s="96"/>
      <c r="B43" s="69"/>
      <c r="C43" s="568">
        <v>42</v>
      </c>
      <c r="D43" s="568" t="s">
        <v>349</v>
      </c>
      <c r="E43" s="51">
        <v>0.0021</v>
      </c>
      <c r="F43" s="50">
        <f t="shared" si="4"/>
        <v>46.08181243931036</v>
      </c>
      <c r="G43" s="176">
        <v>39.9</v>
      </c>
      <c r="H43" s="568">
        <v>1966</v>
      </c>
      <c r="I43" s="576">
        <v>47189</v>
      </c>
      <c r="J43" s="50">
        <f t="shared" si="0"/>
        <v>2.2880166139534612</v>
      </c>
      <c r="K43" s="54">
        <f t="shared" si="1"/>
        <v>16.7064666264127</v>
      </c>
      <c r="L43" s="178">
        <f t="shared" si="5"/>
        <v>39.9</v>
      </c>
      <c r="M43" s="576">
        <v>46115</v>
      </c>
      <c r="N43" s="569">
        <f t="shared" si="2"/>
        <v>16.32623510727122</v>
      </c>
      <c r="O43" s="565"/>
      <c r="P43" s="571">
        <v>0</v>
      </c>
      <c r="Q43" s="565"/>
      <c r="R43" s="571">
        <v>0</v>
      </c>
      <c r="S43" s="565"/>
      <c r="T43" s="571">
        <v>0</v>
      </c>
      <c r="U43" s="565"/>
      <c r="V43" s="571">
        <v>0</v>
      </c>
      <c r="W43" s="565"/>
      <c r="X43" s="571">
        <v>0</v>
      </c>
      <c r="Y43" s="565"/>
      <c r="Z43" s="571">
        <v>0</v>
      </c>
      <c r="AA43" s="217"/>
      <c r="AB43" s="571">
        <f t="shared" si="3"/>
        <v>0</v>
      </c>
      <c r="AC43" s="173">
        <v>1075</v>
      </c>
      <c r="AD43" s="571">
        <f t="shared" si="3"/>
        <v>0.38058555221330503</v>
      </c>
      <c r="AE43" s="576">
        <f t="shared" si="6"/>
        <v>47190</v>
      </c>
    </row>
    <row r="44" spans="1:31" s="568" customFormat="1" ht="9.75" customHeight="1">
      <c r="A44" s="96"/>
      <c r="B44" s="69"/>
      <c r="C44" s="568">
        <v>42</v>
      </c>
      <c r="D44" s="568">
        <v>5</v>
      </c>
      <c r="E44" s="51">
        <v>0.0021</v>
      </c>
      <c r="F44" s="50">
        <f t="shared" si="4"/>
        <v>46.08181243931036</v>
      </c>
      <c r="G44" s="176" t="s">
        <v>350</v>
      </c>
      <c r="H44" s="568">
        <v>1588</v>
      </c>
      <c r="I44" s="576">
        <v>47189</v>
      </c>
      <c r="J44" s="50">
        <f t="shared" si="0"/>
        <v>2.2880166139534612</v>
      </c>
      <c r="K44" s="54">
        <f t="shared" si="1"/>
        <v>16.7064666264127</v>
      </c>
      <c r="L44" s="178" t="str">
        <f t="shared" si="5"/>
        <v>3S.S0</v>
      </c>
      <c r="M44" s="576">
        <v>46115</v>
      </c>
      <c r="N44" s="569">
        <f t="shared" si="2"/>
        <v>16.32623510727122</v>
      </c>
      <c r="O44" s="565"/>
      <c r="P44" s="571">
        <v>0</v>
      </c>
      <c r="Q44" s="565"/>
      <c r="R44" s="571">
        <v>0</v>
      </c>
      <c r="S44" s="565"/>
      <c r="T44" s="571">
        <v>0</v>
      </c>
      <c r="U44" s="565"/>
      <c r="V44" s="571">
        <v>0</v>
      </c>
      <c r="W44" s="565"/>
      <c r="X44" s="571">
        <v>0</v>
      </c>
      <c r="Y44" s="565"/>
      <c r="Z44" s="571">
        <v>0</v>
      </c>
      <c r="AA44" s="217"/>
      <c r="AB44" s="571">
        <f t="shared" si="3"/>
        <v>0</v>
      </c>
      <c r="AC44" s="173">
        <v>1075</v>
      </c>
      <c r="AD44" s="571">
        <f t="shared" si="3"/>
        <v>0.38058555221330503</v>
      </c>
      <c r="AE44" s="576">
        <f t="shared" si="6"/>
        <v>47190</v>
      </c>
    </row>
    <row r="45" spans="1:31" s="568" customFormat="1" ht="9.75" customHeight="1">
      <c r="A45" s="96"/>
      <c r="B45" s="69"/>
      <c r="C45" s="568">
        <v>42</v>
      </c>
      <c r="D45" s="568">
        <v>30</v>
      </c>
      <c r="E45" s="51">
        <v>0.0047</v>
      </c>
      <c r="F45" s="50">
        <f t="shared" si="4"/>
        <v>68.93961179781898</v>
      </c>
      <c r="G45" s="176" t="s">
        <v>220</v>
      </c>
      <c r="H45" s="568">
        <v>1926</v>
      </c>
      <c r="I45" s="576">
        <v>47189</v>
      </c>
      <c r="J45" s="50">
        <f t="shared" si="0"/>
        <v>2.2880166139534612</v>
      </c>
      <c r="K45" s="54">
        <f t="shared" si="1"/>
        <v>16.7064666264127</v>
      </c>
      <c r="L45" s="107">
        <f>F45</f>
        <v>68.93961179781898</v>
      </c>
      <c r="M45" s="576">
        <v>46115</v>
      </c>
      <c r="N45" s="569">
        <f t="shared" si="2"/>
        <v>16.32623510727122</v>
      </c>
      <c r="O45" s="565"/>
      <c r="P45" s="571">
        <v>0</v>
      </c>
      <c r="Q45" s="565"/>
      <c r="R45" s="571">
        <v>0</v>
      </c>
      <c r="S45" s="565"/>
      <c r="T45" s="571">
        <v>0</v>
      </c>
      <c r="U45" s="565"/>
      <c r="V45" s="571">
        <v>0</v>
      </c>
      <c r="W45" s="565"/>
      <c r="X45" s="571">
        <v>0</v>
      </c>
      <c r="Y45" s="565"/>
      <c r="Z45" s="571">
        <v>0</v>
      </c>
      <c r="AA45" s="217"/>
      <c r="AB45" s="571">
        <f t="shared" si="3"/>
        <v>0</v>
      </c>
      <c r="AC45" s="173">
        <v>1075</v>
      </c>
      <c r="AD45" s="571">
        <f t="shared" si="3"/>
        <v>0.38058555221330503</v>
      </c>
      <c r="AE45" s="576">
        <f t="shared" si="6"/>
        <v>47190</v>
      </c>
    </row>
    <row r="46" spans="2:31" s="568" customFormat="1" ht="9.75" customHeight="1">
      <c r="B46" s="96" t="s">
        <v>351</v>
      </c>
      <c r="C46" s="568">
        <v>42</v>
      </c>
      <c r="D46" s="568">
        <v>317</v>
      </c>
      <c r="E46" s="51">
        <v>0.0015</v>
      </c>
      <c r="F46" s="50">
        <f t="shared" si="4"/>
        <v>38.946239848684634</v>
      </c>
      <c r="G46" s="176">
        <v>0</v>
      </c>
      <c r="H46" s="568">
        <v>1926</v>
      </c>
      <c r="I46" s="576">
        <v>69537</v>
      </c>
      <c r="J46" s="50">
        <f t="shared" si="0"/>
        <v>2.1346244176063816</v>
      </c>
      <c r="K46" s="54">
        <f t="shared" si="1"/>
        <v>22.967942000751226</v>
      </c>
      <c r="L46" s="107">
        <f>F46</f>
        <v>38.946239848684634</v>
      </c>
      <c r="M46" s="576">
        <v>67303</v>
      </c>
      <c r="N46" s="569">
        <f t="shared" si="2"/>
        <v>22.23005594829457</v>
      </c>
      <c r="O46" s="217"/>
      <c r="P46" s="571">
        <f>J46*100*O46/(7.48*24*60*60)</f>
        <v>0</v>
      </c>
      <c r="Q46" s="565"/>
      <c r="R46" s="571">
        <v>0</v>
      </c>
      <c r="S46" s="565"/>
      <c r="T46" s="571">
        <v>0</v>
      </c>
      <c r="U46" s="565"/>
      <c r="V46" s="571">
        <v>0</v>
      </c>
      <c r="W46" s="565"/>
      <c r="X46" s="571">
        <v>0</v>
      </c>
      <c r="Y46" s="565">
        <v>442</v>
      </c>
      <c r="Z46" s="571">
        <f>$J46*100*Y46/(7.48*24*60*60)</f>
        <v>0.14599177940279334</v>
      </c>
      <c r="AA46" s="565">
        <v>481</v>
      </c>
      <c r="AB46" s="571">
        <f t="shared" si="3"/>
        <v>0.15887340699715746</v>
      </c>
      <c r="AC46" s="173">
        <v>1075</v>
      </c>
      <c r="AD46" s="571">
        <f t="shared" si="3"/>
        <v>0.35507050420362635</v>
      </c>
      <c r="AE46" s="576">
        <f t="shared" si="6"/>
        <v>69301</v>
      </c>
    </row>
    <row r="47" spans="2:31" s="568" customFormat="1" ht="9.75" customHeight="1">
      <c r="B47" s="96"/>
      <c r="C47" s="568">
        <v>42</v>
      </c>
      <c r="D47" s="568">
        <v>330</v>
      </c>
      <c r="E47" s="51">
        <v>0.0015</v>
      </c>
      <c r="F47" s="50">
        <f t="shared" si="4"/>
        <v>38.946239848684634</v>
      </c>
      <c r="G47" s="176">
        <v>0</v>
      </c>
      <c r="H47" s="568">
        <v>1926</v>
      </c>
      <c r="I47" s="576">
        <v>79620</v>
      </c>
      <c r="J47" s="50">
        <f t="shared" si="0"/>
        <v>2.083339448266954</v>
      </c>
      <c r="K47" s="54">
        <f t="shared" si="1"/>
        <v>25.66651299623299</v>
      </c>
      <c r="L47" s="107">
        <f>F47</f>
        <v>38.946239848684634</v>
      </c>
      <c r="M47" s="576">
        <v>77386</v>
      </c>
      <c r="N47" s="569">
        <f t="shared" si="2"/>
        <v>24.94635486971221</v>
      </c>
      <c r="O47" s="217"/>
      <c r="P47" s="571">
        <f>J47*100*O47/(7.48*24*60*60)</f>
        <v>0</v>
      </c>
      <c r="Q47" s="565"/>
      <c r="R47" s="571">
        <v>0</v>
      </c>
      <c r="S47" s="565"/>
      <c r="T47" s="571">
        <v>0</v>
      </c>
      <c r="U47" s="565"/>
      <c r="V47" s="571">
        <v>0</v>
      </c>
      <c r="W47" s="565"/>
      <c r="X47" s="571">
        <v>0</v>
      </c>
      <c r="Y47" s="565">
        <v>442</v>
      </c>
      <c r="Z47" s="571">
        <f>$J47*100*Y47/(7.48*24*60*60)</f>
        <v>0.14248428465630472</v>
      </c>
      <c r="AA47" s="565">
        <v>481</v>
      </c>
      <c r="AB47" s="571">
        <f t="shared" si="3"/>
        <v>0.15505642742009632</v>
      </c>
      <c r="AC47" s="173">
        <v>1075</v>
      </c>
      <c r="AD47" s="571">
        <f t="shared" si="3"/>
        <v>0.34653983259169135</v>
      </c>
      <c r="AE47" s="576">
        <f t="shared" si="6"/>
        <v>79384</v>
      </c>
    </row>
    <row r="48" spans="1:31" s="568" customFormat="1" ht="9.75" customHeight="1">
      <c r="A48" s="43"/>
      <c r="B48" s="99" t="s">
        <v>487</v>
      </c>
      <c r="C48" s="43">
        <v>0</v>
      </c>
      <c r="D48" s="43">
        <v>0</v>
      </c>
      <c r="E48" s="52">
        <v>0</v>
      </c>
      <c r="F48" s="61">
        <f t="shared" si="4"/>
        <v>0</v>
      </c>
      <c r="G48" s="177" t="s">
        <v>220</v>
      </c>
      <c r="H48" s="43">
        <v>1926</v>
      </c>
      <c r="I48" s="55">
        <v>79620</v>
      </c>
      <c r="J48" s="58">
        <f t="shared" si="0"/>
        <v>2.083339448266954</v>
      </c>
      <c r="K48" s="61">
        <f t="shared" si="1"/>
        <v>25.66651299623299</v>
      </c>
      <c r="L48" s="108">
        <v>38.95</v>
      </c>
      <c r="M48" s="55">
        <v>77386</v>
      </c>
      <c r="N48" s="67">
        <f t="shared" si="2"/>
        <v>24.94635486971221</v>
      </c>
      <c r="O48" s="221"/>
      <c r="P48" s="71">
        <f>J48*100*O48/(7.48*24*60*60)</f>
        <v>0</v>
      </c>
      <c r="Q48" s="135"/>
      <c r="R48" s="71">
        <v>0</v>
      </c>
      <c r="S48" s="180"/>
      <c r="T48" s="71">
        <v>0</v>
      </c>
      <c r="U48" s="135"/>
      <c r="V48" s="71">
        <v>0</v>
      </c>
      <c r="W48" s="135"/>
      <c r="X48" s="71">
        <v>0</v>
      </c>
      <c r="Y48" s="135">
        <v>442</v>
      </c>
      <c r="Z48" s="71">
        <f>$J48*100*Y48/(7.48*24*60*60)</f>
        <v>0.14248428465630472</v>
      </c>
      <c r="AA48" s="135">
        <v>481</v>
      </c>
      <c r="AB48" s="71">
        <f t="shared" si="3"/>
        <v>0.15505642742009632</v>
      </c>
      <c r="AC48" s="413">
        <v>1075</v>
      </c>
      <c r="AD48" s="71">
        <f t="shared" si="3"/>
        <v>0.34653983259169135</v>
      </c>
      <c r="AE48" s="55">
        <f t="shared" si="6"/>
        <v>79384</v>
      </c>
    </row>
    <row r="49" spans="2:30" s="568" customFormat="1" ht="9.75" customHeight="1">
      <c r="B49" s="69"/>
      <c r="E49" s="51"/>
      <c r="G49" s="163"/>
      <c r="I49" s="576"/>
      <c r="M49" s="576"/>
      <c r="N49" s="569"/>
      <c r="P49" s="569"/>
      <c r="R49" s="569"/>
      <c r="T49" s="569"/>
      <c r="V49" s="569"/>
      <c r="X49" s="569"/>
      <c r="Z49" s="569"/>
      <c r="AB49" s="569"/>
      <c r="AD49" s="569"/>
    </row>
    <row r="50" spans="2:30" s="245" customFormat="1" ht="12.75">
      <c r="B50" s="225"/>
      <c r="E50" s="246"/>
      <c r="G50" s="556"/>
      <c r="I50" s="248"/>
      <c r="M50" s="248"/>
      <c r="N50" s="249"/>
      <c r="P50" s="249"/>
      <c r="R50" s="249"/>
      <c r="T50" s="249"/>
      <c r="V50" s="249"/>
      <c r="X50" s="249"/>
      <c r="Z50" s="249"/>
      <c r="AB50" s="249"/>
      <c r="AD50" s="249"/>
    </row>
  </sheetData>
  <sheetProtection/>
  <mergeCells count="9">
    <mergeCell ref="M6:N6"/>
    <mergeCell ref="AA6:AB6"/>
    <mergeCell ref="AC6:AD6"/>
    <mergeCell ref="O6:P6"/>
    <mergeCell ref="Q6:R6"/>
    <mergeCell ref="S6:T6"/>
    <mergeCell ref="U6:V6"/>
    <mergeCell ref="W6:X6"/>
    <mergeCell ref="Y6:Z6"/>
  </mergeCells>
  <printOptions horizontalCentered="1"/>
  <pageMargins left="0.47" right="0.36" top="0.5" bottom="0.75" header="0.3" footer="0.3"/>
  <pageSetup fitToHeight="1" fitToWidth="1" horizontalDpi="600" verticalDpi="600" orientation="landscape" scale="78" r:id="rId1"/>
  <headerFooter alignWithMargins="0">
    <oddFooter>&amp;L&amp;8Revised:                             6/1/2012
App. by OSG Tech. Comm.  &amp;CPage 10 of 13 Pages</oddFooter>
  </headerFooter>
  <rowBreaks count="1" manualBreakCount="1">
    <brk id="81" max="255" man="1"/>
  </rowBreaks>
  <colBreaks count="1" manualBreakCount="1">
    <brk id="8" max="65535" man="1"/>
  </colBreaks>
</worksheet>
</file>

<file path=xl/worksheets/sheet18.xml><?xml version="1.0" encoding="utf-8"?>
<worksheet xmlns="http://schemas.openxmlformats.org/spreadsheetml/2006/main" xmlns:r="http://schemas.openxmlformats.org/officeDocument/2006/relationships">
  <sheetPr>
    <pageSetUpPr fitToPage="1"/>
  </sheetPr>
  <dimension ref="A1:AE68"/>
  <sheetViews>
    <sheetView view="pageLayout" zoomScale="0" zoomScaleNormal="85" zoomScaleSheetLayoutView="100" zoomScalePageLayoutView="0" workbookViewId="0" topLeftCell="A1">
      <selection activeCell="G28" sqref="G28"/>
      <selection activeCell="A1" sqref="A1"/>
    </sheetView>
  </sheetViews>
  <sheetFormatPr defaultColWidth="9.140625" defaultRowHeight="12.75"/>
  <cols>
    <col min="1" max="2" width="12.421875" style="0" customWidth="1"/>
    <col min="3" max="4" width="4.7109375" style="245" customWidth="1"/>
    <col min="5" max="5" width="4.7109375" style="246" customWidth="1"/>
    <col min="6" max="6" width="4.7109375" style="245" customWidth="1"/>
    <col min="7" max="7" width="4.7109375" style="247" customWidth="1"/>
    <col min="8" max="8" width="4.7109375" style="245" customWidth="1"/>
    <col min="9" max="9" width="6.00390625" style="248" customWidth="1"/>
    <col min="10" max="12" width="4.7109375" style="245" customWidth="1"/>
    <col min="13" max="13" width="4.7109375" style="248" customWidth="1"/>
    <col min="14" max="15" width="4.7109375" style="245" customWidth="1"/>
    <col min="16" max="16" width="4.7109375" style="249" customWidth="1"/>
    <col min="17" max="31" width="4.7109375" style="245" customWidth="1"/>
  </cols>
  <sheetData>
    <row r="1" spans="1:31" ht="14.25">
      <c r="A1" s="88" t="s">
        <v>172</v>
      </c>
      <c r="B1" s="88"/>
      <c r="U1" s="581"/>
      <c r="V1" s="581"/>
      <c r="W1" s="581"/>
      <c r="X1" s="581"/>
      <c r="Y1" s="581"/>
      <c r="Z1" s="581"/>
      <c r="AA1" s="581"/>
      <c r="AB1" s="581"/>
      <c r="AC1" s="582"/>
      <c r="AD1" s="582"/>
      <c r="AE1" s="582"/>
    </row>
    <row r="2" spans="1:31" ht="14.25">
      <c r="A2" s="88" t="s">
        <v>1</v>
      </c>
      <c r="B2" s="88"/>
      <c r="U2" s="583"/>
      <c r="V2" s="583"/>
      <c r="W2" s="583"/>
      <c r="X2" s="583"/>
      <c r="Y2" s="583"/>
      <c r="Z2" s="583"/>
      <c r="AA2" s="583"/>
      <c r="AB2" s="583"/>
      <c r="AC2" s="582"/>
      <c r="AD2" s="582"/>
      <c r="AE2" s="582"/>
    </row>
    <row r="3" spans="1:2" ht="14.25">
      <c r="A3" s="88" t="s">
        <v>2</v>
      </c>
      <c r="B3" s="88"/>
    </row>
    <row r="4" spans="1:2" ht="14.25">
      <c r="A4" s="88" t="s">
        <v>173</v>
      </c>
      <c r="B4" s="88"/>
    </row>
    <row r="5" spans="1:2" ht="12.75">
      <c r="A5" s="22" t="s">
        <v>361</v>
      </c>
      <c r="B5" s="22"/>
    </row>
    <row r="7" spans="1:31" ht="9.75" customHeight="1">
      <c r="A7" s="22"/>
      <c r="B7" s="22"/>
      <c r="C7" s="568"/>
      <c r="D7" s="568"/>
      <c r="E7" s="51"/>
      <c r="F7" s="41"/>
      <c r="G7" s="102" t="s">
        <v>44</v>
      </c>
      <c r="H7" s="568"/>
      <c r="I7" s="576" t="s">
        <v>175</v>
      </c>
      <c r="J7" s="568"/>
      <c r="K7" s="41" t="s">
        <v>210</v>
      </c>
      <c r="L7" s="42" t="s">
        <v>204</v>
      </c>
      <c r="M7" s="672" t="s">
        <v>49</v>
      </c>
      <c r="N7" s="673"/>
      <c r="O7" s="670" t="s">
        <v>66</v>
      </c>
      <c r="P7" s="671"/>
      <c r="Q7" s="584" t="s">
        <v>299</v>
      </c>
      <c r="R7" s="584"/>
      <c r="S7" s="584" t="s">
        <v>51</v>
      </c>
      <c r="T7" s="584"/>
      <c r="U7" s="584" t="s">
        <v>178</v>
      </c>
      <c r="V7" s="584"/>
      <c r="W7" s="584" t="s">
        <v>68</v>
      </c>
      <c r="X7" s="584"/>
      <c r="Y7" s="584" t="s">
        <v>65</v>
      </c>
      <c r="Z7" s="584"/>
      <c r="AA7" s="584" t="s">
        <v>207</v>
      </c>
      <c r="AB7" s="584"/>
      <c r="AC7" s="584" t="s">
        <v>208</v>
      </c>
      <c r="AD7" s="584"/>
      <c r="AE7" s="568" t="s">
        <v>7</v>
      </c>
    </row>
    <row r="8" spans="1:31" ht="9.75" customHeight="1">
      <c r="A8" s="22" t="s">
        <v>179</v>
      </c>
      <c r="B8" s="22"/>
      <c r="C8" s="568" t="s">
        <v>180</v>
      </c>
      <c r="D8" s="568" t="s">
        <v>181</v>
      </c>
      <c r="E8" s="51" t="s">
        <v>182</v>
      </c>
      <c r="F8" s="41" t="s">
        <v>183</v>
      </c>
      <c r="G8" s="102" t="s">
        <v>204</v>
      </c>
      <c r="H8" s="568" t="s">
        <v>212</v>
      </c>
      <c r="I8" s="576" t="s">
        <v>184</v>
      </c>
      <c r="J8" s="568" t="s">
        <v>185</v>
      </c>
      <c r="K8" s="41" t="s">
        <v>204</v>
      </c>
      <c r="L8" s="42" t="s">
        <v>199</v>
      </c>
      <c r="M8" s="575" t="s">
        <v>187</v>
      </c>
      <c r="N8" s="568" t="s">
        <v>200</v>
      </c>
      <c r="O8" s="173" t="s">
        <v>187</v>
      </c>
      <c r="P8" s="571" t="s">
        <v>200</v>
      </c>
      <c r="Q8" s="173" t="s">
        <v>187</v>
      </c>
      <c r="R8" s="571" t="s">
        <v>200</v>
      </c>
      <c r="S8" s="173" t="s">
        <v>187</v>
      </c>
      <c r="T8" s="571" t="s">
        <v>200</v>
      </c>
      <c r="U8" s="173" t="s">
        <v>187</v>
      </c>
      <c r="V8" s="571" t="s">
        <v>200</v>
      </c>
      <c r="W8" s="173" t="s">
        <v>187</v>
      </c>
      <c r="X8" s="571" t="s">
        <v>200</v>
      </c>
      <c r="Y8" s="173" t="s">
        <v>187</v>
      </c>
      <c r="Z8" s="571" t="s">
        <v>200</v>
      </c>
      <c r="AA8" s="173" t="s">
        <v>187</v>
      </c>
      <c r="AB8" s="571" t="s">
        <v>200</v>
      </c>
      <c r="AC8" s="568" t="s">
        <v>187</v>
      </c>
      <c r="AD8" s="566" t="s">
        <v>373</v>
      </c>
      <c r="AE8" s="568" t="s">
        <v>187</v>
      </c>
    </row>
    <row r="9" spans="1:31" ht="9.75" customHeight="1" thickBot="1">
      <c r="A9" s="181" t="s">
        <v>214</v>
      </c>
      <c r="B9" s="181" t="s">
        <v>215</v>
      </c>
      <c r="C9" s="78" t="s">
        <v>189</v>
      </c>
      <c r="D9" s="78" t="s">
        <v>242</v>
      </c>
      <c r="E9" s="79" t="s">
        <v>202</v>
      </c>
      <c r="F9" s="80" t="s">
        <v>191</v>
      </c>
      <c r="G9" s="81" t="s">
        <v>191</v>
      </c>
      <c r="H9" s="78" t="s">
        <v>192</v>
      </c>
      <c r="I9" s="82" t="s">
        <v>274</v>
      </c>
      <c r="J9" s="78" t="s">
        <v>194</v>
      </c>
      <c r="K9" s="80" t="s">
        <v>191</v>
      </c>
      <c r="L9" s="85" t="s">
        <v>191</v>
      </c>
      <c r="M9" s="171"/>
      <c r="N9" s="78" t="s">
        <v>191</v>
      </c>
      <c r="O9" s="175"/>
      <c r="P9" s="86" t="s">
        <v>191</v>
      </c>
      <c r="Q9" s="175"/>
      <c r="R9" s="86" t="s">
        <v>191</v>
      </c>
      <c r="S9" s="175"/>
      <c r="T9" s="86" t="s">
        <v>191</v>
      </c>
      <c r="U9" s="175"/>
      <c r="V9" s="86" t="s">
        <v>191</v>
      </c>
      <c r="W9" s="175"/>
      <c r="X9" s="86" t="s">
        <v>191</v>
      </c>
      <c r="Y9" s="175"/>
      <c r="Z9" s="86" t="s">
        <v>191</v>
      </c>
      <c r="AA9" s="175"/>
      <c r="AB9" s="86" t="s">
        <v>191</v>
      </c>
      <c r="AC9" s="78"/>
      <c r="AD9" s="86" t="s">
        <v>191</v>
      </c>
      <c r="AE9" s="78"/>
    </row>
    <row r="10" spans="1:31" ht="9.75" customHeight="1" thickTop="1">
      <c r="A10" s="22" t="s">
        <v>371</v>
      </c>
      <c r="B10" s="22" t="s">
        <v>500</v>
      </c>
      <c r="C10" s="568">
        <v>8</v>
      </c>
      <c r="D10" s="568">
        <v>388</v>
      </c>
      <c r="E10" s="51">
        <v>0.004</v>
      </c>
      <c r="F10" s="54">
        <f aca="true" t="shared" si="0" ref="F10:F53">(1.486/0.013)*((3.14*($C10*$C10)/4)/144)*SQRT($E10)*POWER($C10/12/4,2/3)</f>
        <v>0.7638799151063596</v>
      </c>
      <c r="G10" s="102">
        <v>0.25</v>
      </c>
      <c r="H10" s="568">
        <v>1959</v>
      </c>
      <c r="I10" s="576">
        <v>1460</v>
      </c>
      <c r="J10" s="50">
        <f aca="true" t="shared" si="1" ref="J10:J53">(18+SQRT(I10/1000))/(4+SQRT(I10/1000))</f>
        <v>3.6880148306029987</v>
      </c>
      <c r="K10" s="54">
        <f aca="true" t="shared" si="2" ref="K10:K53">I10:I10*100*J10/(7.48*24*60*60)</f>
        <v>0.8331633820868579</v>
      </c>
      <c r="L10" s="107">
        <f>G10</f>
        <v>0.25</v>
      </c>
      <c r="M10" s="575">
        <v>1460</v>
      </c>
      <c r="N10" s="569">
        <f aca="true" t="shared" si="3" ref="N10:N53">J10*100*M10/(7.48*24*60*60)</f>
        <v>0.8331633820868579</v>
      </c>
      <c r="O10" s="565"/>
      <c r="P10" s="571">
        <v>0</v>
      </c>
      <c r="Q10" s="565"/>
      <c r="R10" s="571">
        <v>0</v>
      </c>
      <c r="S10" s="565"/>
      <c r="T10" s="571">
        <v>0</v>
      </c>
      <c r="U10" s="565"/>
      <c r="V10" s="571">
        <v>0</v>
      </c>
      <c r="W10" s="565"/>
      <c r="X10" s="571">
        <v>0</v>
      </c>
      <c r="Y10" s="565"/>
      <c r="Z10" s="571">
        <v>0</v>
      </c>
      <c r="AA10" s="565"/>
      <c r="AB10" s="571">
        <v>0</v>
      </c>
      <c r="AC10" s="568">
        <v>20</v>
      </c>
      <c r="AD10" s="569">
        <f aca="true" t="shared" si="4" ref="AD10:AD53">$J10*100*AC10/(7.48*24*60*60)</f>
        <v>0.011413197014888464</v>
      </c>
      <c r="AE10" s="576">
        <f>AC10+AA10+Y10+W10+U10+S10+Q10+O10+M10</f>
        <v>1480</v>
      </c>
    </row>
    <row r="11" spans="1:31" ht="9.75" customHeight="1">
      <c r="A11" s="22"/>
      <c r="B11" s="22"/>
      <c r="C11" s="568">
        <v>8</v>
      </c>
      <c r="D11" s="568">
        <v>213</v>
      </c>
      <c r="E11" s="51">
        <v>0.004</v>
      </c>
      <c r="F11" s="54">
        <f t="shared" si="0"/>
        <v>0.7638799151063596</v>
      </c>
      <c r="G11" s="102">
        <v>0.25</v>
      </c>
      <c r="H11" s="568">
        <v>1959</v>
      </c>
      <c r="I11" s="576">
        <v>1460</v>
      </c>
      <c r="J11" s="50">
        <f t="shared" si="1"/>
        <v>3.6880148306029987</v>
      </c>
      <c r="K11" s="54">
        <f t="shared" si="2"/>
        <v>0.8331633820868579</v>
      </c>
      <c r="L11" s="42">
        <f aca="true" t="shared" si="5" ref="L11:L17">G11</f>
        <v>0.25</v>
      </c>
      <c r="M11" s="575">
        <v>1460</v>
      </c>
      <c r="N11" s="569">
        <f t="shared" si="3"/>
        <v>0.8331633820868579</v>
      </c>
      <c r="O11" s="565"/>
      <c r="P11" s="571">
        <v>0</v>
      </c>
      <c r="Q11" s="565"/>
      <c r="R11" s="571">
        <v>0</v>
      </c>
      <c r="S11" s="565"/>
      <c r="T11" s="571">
        <v>0</v>
      </c>
      <c r="U11" s="565"/>
      <c r="V11" s="571">
        <v>0</v>
      </c>
      <c r="W11" s="565"/>
      <c r="X11" s="571">
        <v>0</v>
      </c>
      <c r="Y11" s="565"/>
      <c r="Z11" s="571">
        <v>0</v>
      </c>
      <c r="AA11" s="565"/>
      <c r="AB11" s="571">
        <v>0</v>
      </c>
      <c r="AC11" s="568">
        <v>20</v>
      </c>
      <c r="AD11" s="569">
        <f t="shared" si="4"/>
        <v>0.011413197014888464</v>
      </c>
      <c r="AE11" s="576">
        <f aca="true" t="shared" si="6" ref="AE11:AE53">AC11+AA11+Y11+W11+U11+S11+Q11+O11+M11</f>
        <v>1480</v>
      </c>
    </row>
    <row r="12" spans="2:31" ht="9.75" customHeight="1">
      <c r="B12" s="22" t="s">
        <v>362</v>
      </c>
      <c r="C12" s="568">
        <v>8</v>
      </c>
      <c r="D12" s="568">
        <v>179</v>
      </c>
      <c r="E12" s="51">
        <v>0.004</v>
      </c>
      <c r="F12" s="54">
        <f t="shared" si="0"/>
        <v>0.7638799151063596</v>
      </c>
      <c r="G12" s="102">
        <v>0.75</v>
      </c>
      <c r="H12" s="568">
        <v>1959</v>
      </c>
      <c r="I12" s="576">
        <v>1460</v>
      </c>
      <c r="J12" s="50">
        <f t="shared" si="1"/>
        <v>3.6880148306029987</v>
      </c>
      <c r="K12" s="54">
        <f t="shared" si="2"/>
        <v>0.8331633820868579</v>
      </c>
      <c r="L12" s="42">
        <f t="shared" si="5"/>
        <v>0.75</v>
      </c>
      <c r="M12" s="575">
        <v>1460</v>
      </c>
      <c r="N12" s="569">
        <f t="shared" si="3"/>
        <v>0.8331633820868579</v>
      </c>
      <c r="O12" s="565"/>
      <c r="P12" s="571">
        <v>0</v>
      </c>
      <c r="Q12" s="565"/>
      <c r="R12" s="571">
        <v>0</v>
      </c>
      <c r="S12" s="565"/>
      <c r="T12" s="571">
        <v>0</v>
      </c>
      <c r="U12" s="565"/>
      <c r="V12" s="571">
        <v>0</v>
      </c>
      <c r="W12" s="565"/>
      <c r="X12" s="571">
        <v>0</v>
      </c>
      <c r="Y12" s="565"/>
      <c r="Z12" s="571">
        <v>0</v>
      </c>
      <c r="AA12" s="565"/>
      <c r="AB12" s="571">
        <v>0</v>
      </c>
      <c r="AC12" s="568">
        <v>20</v>
      </c>
      <c r="AD12" s="569">
        <f t="shared" si="4"/>
        <v>0.011413197014888464</v>
      </c>
      <c r="AE12" s="576">
        <f t="shared" si="6"/>
        <v>1480</v>
      </c>
    </row>
    <row r="13" spans="1:31" ht="9.75" customHeight="1">
      <c r="A13" s="22"/>
      <c r="B13" s="22"/>
      <c r="C13" s="568">
        <v>8</v>
      </c>
      <c r="D13" s="568">
        <v>401</v>
      </c>
      <c r="E13" s="51">
        <v>0.004</v>
      </c>
      <c r="F13" s="54">
        <f t="shared" si="0"/>
        <v>0.7638799151063596</v>
      </c>
      <c r="G13" s="102">
        <v>0.75</v>
      </c>
      <c r="H13" s="568">
        <v>1959</v>
      </c>
      <c r="I13" s="576">
        <v>1460</v>
      </c>
      <c r="J13" s="50">
        <f t="shared" si="1"/>
        <v>3.6880148306029987</v>
      </c>
      <c r="K13" s="54">
        <f t="shared" si="2"/>
        <v>0.8331633820868579</v>
      </c>
      <c r="L13" s="42">
        <f t="shared" si="5"/>
        <v>0.75</v>
      </c>
      <c r="M13" s="575">
        <v>1460</v>
      </c>
      <c r="N13" s="569">
        <f t="shared" si="3"/>
        <v>0.8331633820868579</v>
      </c>
      <c r="O13" s="565"/>
      <c r="P13" s="571">
        <v>0</v>
      </c>
      <c r="Q13" s="565"/>
      <c r="R13" s="571">
        <v>0</v>
      </c>
      <c r="S13" s="565"/>
      <c r="T13" s="571">
        <v>0</v>
      </c>
      <c r="U13" s="565"/>
      <c r="V13" s="571">
        <v>0</v>
      </c>
      <c r="W13" s="565"/>
      <c r="X13" s="571">
        <v>0</v>
      </c>
      <c r="Y13" s="565"/>
      <c r="Z13" s="571">
        <v>0</v>
      </c>
      <c r="AA13" s="565"/>
      <c r="AB13" s="571">
        <v>0</v>
      </c>
      <c r="AC13" s="568">
        <v>20</v>
      </c>
      <c r="AD13" s="569">
        <f t="shared" si="4"/>
        <v>0.011413197014888464</v>
      </c>
      <c r="AE13" s="576">
        <f t="shared" si="6"/>
        <v>1480</v>
      </c>
    </row>
    <row r="14" spans="1:31" ht="9.75" customHeight="1">
      <c r="A14" s="22"/>
      <c r="B14" s="22"/>
      <c r="C14" s="568">
        <v>8</v>
      </c>
      <c r="D14" s="568">
        <v>399</v>
      </c>
      <c r="E14" s="51">
        <v>0.004</v>
      </c>
      <c r="F14" s="54">
        <f t="shared" si="0"/>
        <v>0.7638799151063596</v>
      </c>
      <c r="G14" s="102">
        <v>0.75</v>
      </c>
      <c r="H14" s="568">
        <v>1959</v>
      </c>
      <c r="I14" s="576">
        <f>I$19</f>
        <v>1460</v>
      </c>
      <c r="J14" s="50">
        <f t="shared" si="1"/>
        <v>3.6880148306029987</v>
      </c>
      <c r="K14" s="54">
        <f t="shared" si="2"/>
        <v>0.8331633820868579</v>
      </c>
      <c r="L14" s="567">
        <f t="shared" si="5"/>
        <v>0.75</v>
      </c>
      <c r="M14" s="575">
        <f>M$19</f>
        <v>1460</v>
      </c>
      <c r="N14" s="569">
        <f t="shared" si="3"/>
        <v>0.8331633820868579</v>
      </c>
      <c r="O14" s="565"/>
      <c r="P14" s="569">
        <v>0</v>
      </c>
      <c r="Q14" s="173"/>
      <c r="R14" s="571">
        <v>0</v>
      </c>
      <c r="S14" s="565"/>
      <c r="T14" s="571">
        <v>0</v>
      </c>
      <c r="U14" s="565"/>
      <c r="V14" s="571">
        <v>0</v>
      </c>
      <c r="W14" s="565"/>
      <c r="X14" s="571">
        <v>0</v>
      </c>
      <c r="Y14" s="565"/>
      <c r="Z14" s="571">
        <v>0</v>
      </c>
      <c r="AA14" s="565"/>
      <c r="AB14" s="571">
        <v>0</v>
      </c>
      <c r="AC14" s="568">
        <v>20</v>
      </c>
      <c r="AD14" s="569">
        <f t="shared" si="4"/>
        <v>0.011413197014888464</v>
      </c>
      <c r="AE14" s="576">
        <f t="shared" si="6"/>
        <v>1480</v>
      </c>
    </row>
    <row r="15" spans="2:31" ht="9.75" customHeight="1">
      <c r="B15" s="22" t="s">
        <v>363</v>
      </c>
      <c r="C15" s="568">
        <v>8</v>
      </c>
      <c r="D15" s="568">
        <v>398</v>
      </c>
      <c r="E15" s="51">
        <v>0.004</v>
      </c>
      <c r="F15" s="54">
        <f t="shared" si="0"/>
        <v>0.7638799151063596</v>
      </c>
      <c r="G15" s="102">
        <v>0.75</v>
      </c>
      <c r="H15" s="568">
        <v>1959</v>
      </c>
      <c r="I15" s="576">
        <f>I$19</f>
        <v>1460</v>
      </c>
      <c r="J15" s="50">
        <f t="shared" si="1"/>
        <v>3.6880148306029987</v>
      </c>
      <c r="K15" s="54">
        <f t="shared" si="2"/>
        <v>0.8331633820868579</v>
      </c>
      <c r="L15" s="567">
        <f t="shared" si="5"/>
        <v>0.75</v>
      </c>
      <c r="M15" s="575">
        <f>M$19</f>
        <v>1460</v>
      </c>
      <c r="N15" s="569">
        <f t="shared" si="3"/>
        <v>0.8331633820868579</v>
      </c>
      <c r="O15" s="565"/>
      <c r="P15" s="569">
        <v>0</v>
      </c>
      <c r="Q15" s="173"/>
      <c r="R15" s="571">
        <v>0</v>
      </c>
      <c r="S15" s="565"/>
      <c r="T15" s="571">
        <v>0</v>
      </c>
      <c r="U15" s="565"/>
      <c r="V15" s="571">
        <v>0</v>
      </c>
      <c r="W15" s="565"/>
      <c r="X15" s="571">
        <v>0</v>
      </c>
      <c r="Y15" s="565"/>
      <c r="Z15" s="571">
        <v>0</v>
      </c>
      <c r="AA15" s="565"/>
      <c r="AB15" s="571">
        <v>0</v>
      </c>
      <c r="AC15" s="568">
        <v>20</v>
      </c>
      <c r="AD15" s="569">
        <f t="shared" si="4"/>
        <v>0.011413197014888464</v>
      </c>
      <c r="AE15" s="576">
        <f t="shared" si="6"/>
        <v>1480</v>
      </c>
    </row>
    <row r="16" spans="2:31" ht="9.75" customHeight="1">
      <c r="B16" s="22" t="s">
        <v>364</v>
      </c>
      <c r="C16" s="568">
        <v>8</v>
      </c>
      <c r="D16" s="568">
        <v>314</v>
      </c>
      <c r="E16" s="51">
        <v>0.004</v>
      </c>
      <c r="F16" s="54">
        <f t="shared" si="0"/>
        <v>0.7638799151063596</v>
      </c>
      <c r="G16" s="102">
        <v>0.75</v>
      </c>
      <c r="H16" s="568">
        <v>1959</v>
      </c>
      <c r="I16" s="576">
        <f>I$19</f>
        <v>1460</v>
      </c>
      <c r="J16" s="50">
        <f t="shared" si="1"/>
        <v>3.6880148306029987</v>
      </c>
      <c r="K16" s="54">
        <f t="shared" si="2"/>
        <v>0.8331633820868579</v>
      </c>
      <c r="L16" s="567">
        <f t="shared" si="5"/>
        <v>0.75</v>
      </c>
      <c r="M16" s="575">
        <f>M$19</f>
        <v>1460</v>
      </c>
      <c r="N16" s="569">
        <f t="shared" si="3"/>
        <v>0.8331633820868579</v>
      </c>
      <c r="O16" s="565"/>
      <c r="P16" s="569">
        <v>0</v>
      </c>
      <c r="Q16" s="173"/>
      <c r="R16" s="571">
        <v>0</v>
      </c>
      <c r="S16" s="565"/>
      <c r="T16" s="571">
        <v>0</v>
      </c>
      <c r="U16" s="565"/>
      <c r="V16" s="571">
        <v>0</v>
      </c>
      <c r="W16" s="565"/>
      <c r="X16" s="571">
        <v>0</v>
      </c>
      <c r="Y16" s="565"/>
      <c r="Z16" s="571">
        <v>0</v>
      </c>
      <c r="AA16" s="565"/>
      <c r="AB16" s="571">
        <v>0</v>
      </c>
      <c r="AC16" s="568">
        <v>20</v>
      </c>
      <c r="AD16" s="569">
        <f t="shared" si="4"/>
        <v>0.011413197014888464</v>
      </c>
      <c r="AE16" s="576">
        <f t="shared" si="6"/>
        <v>1480</v>
      </c>
    </row>
    <row r="17" spans="1:31" ht="9.75" customHeight="1">
      <c r="A17" s="22"/>
      <c r="B17" s="22"/>
      <c r="C17" s="568">
        <v>8</v>
      </c>
      <c r="D17" s="568">
        <v>308</v>
      </c>
      <c r="E17" s="51">
        <v>0.004</v>
      </c>
      <c r="F17" s="54">
        <f t="shared" si="0"/>
        <v>0.7638799151063596</v>
      </c>
      <c r="G17" s="102">
        <v>0.75</v>
      </c>
      <c r="H17" s="568">
        <v>1959</v>
      </c>
      <c r="I17" s="576">
        <f>I$19</f>
        <v>1460</v>
      </c>
      <c r="J17" s="50">
        <f t="shared" si="1"/>
        <v>3.6880148306029987</v>
      </c>
      <c r="K17" s="54">
        <f t="shared" si="2"/>
        <v>0.8331633820868579</v>
      </c>
      <c r="L17" s="567">
        <f t="shared" si="5"/>
        <v>0.75</v>
      </c>
      <c r="M17" s="575">
        <f>M$19</f>
        <v>1460</v>
      </c>
      <c r="N17" s="569">
        <f t="shared" si="3"/>
        <v>0.8331633820868579</v>
      </c>
      <c r="O17" s="565"/>
      <c r="P17" s="569">
        <v>0</v>
      </c>
      <c r="Q17" s="173"/>
      <c r="R17" s="571">
        <v>0</v>
      </c>
      <c r="S17" s="565"/>
      <c r="T17" s="571">
        <v>0</v>
      </c>
      <c r="U17" s="565"/>
      <c r="V17" s="571">
        <v>0</v>
      </c>
      <c r="W17" s="565"/>
      <c r="X17" s="571">
        <v>0</v>
      </c>
      <c r="Y17" s="565"/>
      <c r="Z17" s="571">
        <v>0</v>
      </c>
      <c r="AA17" s="565"/>
      <c r="AB17" s="571">
        <v>0</v>
      </c>
      <c r="AC17" s="568">
        <v>20</v>
      </c>
      <c r="AD17" s="569">
        <f t="shared" si="4"/>
        <v>0.011413197014888464</v>
      </c>
      <c r="AE17" s="576">
        <f t="shared" si="6"/>
        <v>1480</v>
      </c>
    </row>
    <row r="18" spans="1:31" ht="9.75" customHeight="1">
      <c r="A18" s="22" t="s">
        <v>372</v>
      </c>
      <c r="B18" s="22" t="s">
        <v>355</v>
      </c>
      <c r="C18" s="568">
        <v>15</v>
      </c>
      <c r="D18" s="568">
        <v>210</v>
      </c>
      <c r="E18" s="51">
        <v>0.002</v>
      </c>
      <c r="F18" s="54">
        <f t="shared" si="0"/>
        <v>2.887443437264715</v>
      </c>
      <c r="G18" s="102">
        <v>0</v>
      </c>
      <c r="H18" s="568">
        <v>1959</v>
      </c>
      <c r="I18" s="576">
        <f>I$19</f>
        <v>1460</v>
      </c>
      <c r="J18" s="50">
        <f t="shared" si="1"/>
        <v>3.6880148306029987</v>
      </c>
      <c r="K18" s="54">
        <f t="shared" si="2"/>
        <v>0.8331633820868579</v>
      </c>
      <c r="L18" s="102">
        <f>F18</f>
        <v>2.887443437264715</v>
      </c>
      <c r="M18" s="575">
        <f>M$19</f>
        <v>1460</v>
      </c>
      <c r="N18" s="569">
        <f t="shared" si="3"/>
        <v>0.8331633820868579</v>
      </c>
      <c r="O18" s="565"/>
      <c r="P18" s="569">
        <v>0</v>
      </c>
      <c r="Q18" s="173"/>
      <c r="R18" s="571">
        <v>0</v>
      </c>
      <c r="S18" s="565"/>
      <c r="T18" s="571">
        <v>0</v>
      </c>
      <c r="U18" s="565"/>
      <c r="V18" s="571">
        <v>0</v>
      </c>
      <c r="W18" s="565"/>
      <c r="X18" s="571">
        <v>0</v>
      </c>
      <c r="Y18" s="565"/>
      <c r="Z18" s="571">
        <v>0</v>
      </c>
      <c r="AA18" s="565"/>
      <c r="AB18" s="571">
        <v>0</v>
      </c>
      <c r="AC18" s="568">
        <v>20</v>
      </c>
      <c r="AD18" s="569">
        <f t="shared" si="4"/>
        <v>0.011413197014888464</v>
      </c>
      <c r="AE18" s="576">
        <f t="shared" si="6"/>
        <v>1480</v>
      </c>
    </row>
    <row r="19" spans="1:31" ht="9.75" customHeight="1">
      <c r="A19" s="22"/>
      <c r="B19" s="22"/>
      <c r="C19" s="568">
        <v>15</v>
      </c>
      <c r="D19" s="568">
        <v>230</v>
      </c>
      <c r="E19" s="51">
        <v>0.002</v>
      </c>
      <c r="F19" s="54">
        <f t="shared" si="0"/>
        <v>2.887443437264715</v>
      </c>
      <c r="G19" s="102">
        <v>0</v>
      </c>
      <c r="H19" s="568">
        <v>1959</v>
      </c>
      <c r="I19" s="576">
        <v>1460</v>
      </c>
      <c r="J19" s="50">
        <f t="shared" si="1"/>
        <v>3.6880148306029987</v>
      </c>
      <c r="K19" s="54">
        <f t="shared" si="2"/>
        <v>0.8331633820868579</v>
      </c>
      <c r="L19" s="107">
        <f aca="true" t="shared" si="7" ref="L19:L38">F19</f>
        <v>2.887443437264715</v>
      </c>
      <c r="M19" s="575">
        <v>1460</v>
      </c>
      <c r="N19" s="569">
        <f t="shared" si="3"/>
        <v>0.8331633820868579</v>
      </c>
      <c r="O19" s="565"/>
      <c r="P19" s="571">
        <v>0</v>
      </c>
      <c r="Q19" s="565"/>
      <c r="R19" s="571">
        <v>0</v>
      </c>
      <c r="S19" s="565"/>
      <c r="T19" s="571">
        <v>0</v>
      </c>
      <c r="U19" s="565"/>
      <c r="V19" s="571">
        <v>0</v>
      </c>
      <c r="W19" s="565"/>
      <c r="X19" s="571">
        <v>0</v>
      </c>
      <c r="Y19" s="565"/>
      <c r="Z19" s="571">
        <v>0</v>
      </c>
      <c r="AA19" s="565"/>
      <c r="AB19" s="571">
        <v>0</v>
      </c>
      <c r="AC19" s="568">
        <v>20</v>
      </c>
      <c r="AD19" s="569">
        <f t="shared" si="4"/>
        <v>0.011413197014888464</v>
      </c>
      <c r="AE19" s="576">
        <f t="shared" si="6"/>
        <v>1480</v>
      </c>
    </row>
    <row r="20" spans="2:31" ht="9.75" customHeight="1">
      <c r="B20" s="22" t="s">
        <v>223</v>
      </c>
      <c r="C20" s="568">
        <v>15</v>
      </c>
      <c r="D20" s="568">
        <v>296</v>
      </c>
      <c r="E20" s="51">
        <v>0.002</v>
      </c>
      <c r="F20" s="54">
        <f t="shared" si="0"/>
        <v>2.887443437264715</v>
      </c>
      <c r="G20" s="102">
        <v>0</v>
      </c>
      <c r="H20" s="568">
        <v>1959</v>
      </c>
      <c r="I20" s="576">
        <v>1460</v>
      </c>
      <c r="J20" s="50">
        <f t="shared" si="1"/>
        <v>3.6880148306029987</v>
      </c>
      <c r="K20" s="54">
        <f t="shared" si="2"/>
        <v>0.8331633820868579</v>
      </c>
      <c r="L20" s="107">
        <f t="shared" si="7"/>
        <v>2.887443437264715</v>
      </c>
      <c r="M20" s="575">
        <v>1460</v>
      </c>
      <c r="N20" s="569">
        <f t="shared" si="3"/>
        <v>0.8331633820868579</v>
      </c>
      <c r="O20" s="565"/>
      <c r="P20" s="571">
        <v>0</v>
      </c>
      <c r="Q20" s="565"/>
      <c r="R20" s="571">
        <v>0</v>
      </c>
      <c r="S20" s="565"/>
      <c r="T20" s="571">
        <v>0</v>
      </c>
      <c r="U20" s="565"/>
      <c r="V20" s="571">
        <v>0</v>
      </c>
      <c r="W20" s="565"/>
      <c r="X20" s="571">
        <v>0</v>
      </c>
      <c r="Y20" s="565"/>
      <c r="Z20" s="571">
        <v>0</v>
      </c>
      <c r="AA20" s="565"/>
      <c r="AB20" s="571">
        <v>0</v>
      </c>
      <c r="AC20" s="568">
        <v>20</v>
      </c>
      <c r="AD20" s="569">
        <f t="shared" si="4"/>
        <v>0.011413197014888464</v>
      </c>
      <c r="AE20" s="576">
        <f t="shared" si="6"/>
        <v>1480</v>
      </c>
    </row>
    <row r="21" spans="2:31" ht="9.75" customHeight="1">
      <c r="B21" s="22"/>
      <c r="C21" s="568">
        <v>15</v>
      </c>
      <c r="D21" s="568">
        <v>275</v>
      </c>
      <c r="E21" s="51">
        <v>0.002</v>
      </c>
      <c r="F21" s="54">
        <f t="shared" si="0"/>
        <v>2.887443437264715</v>
      </c>
      <c r="G21" s="102" t="s">
        <v>220</v>
      </c>
      <c r="H21" s="568">
        <v>1959</v>
      </c>
      <c r="I21" s="576">
        <v>1460</v>
      </c>
      <c r="J21" s="50">
        <f t="shared" si="1"/>
        <v>3.6880148306029987</v>
      </c>
      <c r="K21" s="54">
        <f t="shared" si="2"/>
        <v>0.8331633820868579</v>
      </c>
      <c r="L21" s="107">
        <f t="shared" si="7"/>
        <v>2.887443437264715</v>
      </c>
      <c r="M21" s="575">
        <v>1460</v>
      </c>
      <c r="N21" s="569">
        <f t="shared" si="3"/>
        <v>0.8331633820868579</v>
      </c>
      <c r="O21" s="565"/>
      <c r="P21" s="571">
        <v>0</v>
      </c>
      <c r="Q21" s="565"/>
      <c r="R21" s="571">
        <v>0</v>
      </c>
      <c r="S21" s="565"/>
      <c r="T21" s="571">
        <v>0</v>
      </c>
      <c r="U21" s="565"/>
      <c r="V21" s="571">
        <v>0</v>
      </c>
      <c r="W21" s="565"/>
      <c r="X21" s="571">
        <v>0</v>
      </c>
      <c r="Y21" s="565"/>
      <c r="Z21" s="571">
        <v>0</v>
      </c>
      <c r="AA21" s="565"/>
      <c r="AB21" s="571">
        <v>0</v>
      </c>
      <c r="AC21" s="568">
        <v>20</v>
      </c>
      <c r="AD21" s="569">
        <f t="shared" si="4"/>
        <v>0.011413197014888464</v>
      </c>
      <c r="AE21" s="576">
        <f t="shared" si="6"/>
        <v>1480</v>
      </c>
    </row>
    <row r="22" spans="2:31" ht="9.75" customHeight="1">
      <c r="B22" s="22" t="s">
        <v>365</v>
      </c>
      <c r="C22" s="568">
        <v>15</v>
      </c>
      <c r="D22" s="568">
        <v>84</v>
      </c>
      <c r="E22" s="51">
        <v>0.003</v>
      </c>
      <c r="F22" s="54">
        <f t="shared" si="0"/>
        <v>3.536381541223261</v>
      </c>
      <c r="G22" s="102">
        <v>0</v>
      </c>
      <c r="H22" s="568">
        <v>1962</v>
      </c>
      <c r="I22" s="576">
        <v>4692</v>
      </c>
      <c r="J22" s="50">
        <f t="shared" si="1"/>
        <v>3.2704779917669287</v>
      </c>
      <c r="K22" s="54">
        <f t="shared" si="2"/>
        <v>2.3744000571540202</v>
      </c>
      <c r="L22" s="107">
        <f t="shared" si="7"/>
        <v>3.536381541223261</v>
      </c>
      <c r="M22" s="575">
        <f aca="true" t="shared" si="8" ref="M22:M27">M$28</f>
        <v>4692</v>
      </c>
      <c r="N22" s="569">
        <f t="shared" si="3"/>
        <v>2.3744000571540202</v>
      </c>
      <c r="O22" s="565"/>
      <c r="P22" s="571">
        <v>0</v>
      </c>
      <c r="Q22" s="565"/>
      <c r="R22" s="571">
        <v>0</v>
      </c>
      <c r="S22" s="565"/>
      <c r="T22" s="571">
        <v>0</v>
      </c>
      <c r="U22" s="565"/>
      <c r="V22" s="571">
        <v>0</v>
      </c>
      <c r="W22" s="565"/>
      <c r="X22" s="571">
        <v>0</v>
      </c>
      <c r="Y22" s="565"/>
      <c r="Z22" s="571">
        <v>0</v>
      </c>
      <c r="AA22" s="565"/>
      <c r="AB22" s="571">
        <v>0</v>
      </c>
      <c r="AC22" s="568">
        <v>20</v>
      </c>
      <c r="AD22" s="569">
        <f t="shared" si="4"/>
        <v>0.010121057362122848</v>
      </c>
      <c r="AE22" s="576">
        <f t="shared" si="6"/>
        <v>4712</v>
      </c>
    </row>
    <row r="23" spans="1:31" ht="9.75" customHeight="1">
      <c r="A23" s="22"/>
      <c r="B23" s="22"/>
      <c r="C23" s="568">
        <v>15</v>
      </c>
      <c r="D23" s="568">
        <v>298</v>
      </c>
      <c r="E23" s="51">
        <v>0.003</v>
      </c>
      <c r="F23" s="54">
        <f t="shared" si="0"/>
        <v>3.536381541223261</v>
      </c>
      <c r="G23" s="102">
        <v>0</v>
      </c>
      <c r="H23" s="568">
        <v>1962</v>
      </c>
      <c r="I23" s="576">
        <v>4692</v>
      </c>
      <c r="J23" s="50">
        <f t="shared" si="1"/>
        <v>3.2704779917669287</v>
      </c>
      <c r="K23" s="54">
        <f t="shared" si="2"/>
        <v>2.3744000571540202</v>
      </c>
      <c r="L23" s="107">
        <f t="shared" si="7"/>
        <v>3.536381541223261</v>
      </c>
      <c r="M23" s="575">
        <f t="shared" si="8"/>
        <v>4692</v>
      </c>
      <c r="N23" s="569">
        <f t="shared" si="3"/>
        <v>2.3744000571540202</v>
      </c>
      <c r="O23" s="565"/>
      <c r="P23" s="571">
        <v>0</v>
      </c>
      <c r="Q23" s="565"/>
      <c r="R23" s="571">
        <v>0</v>
      </c>
      <c r="S23" s="565"/>
      <c r="T23" s="571">
        <v>0</v>
      </c>
      <c r="U23" s="565"/>
      <c r="V23" s="571">
        <v>0</v>
      </c>
      <c r="W23" s="565"/>
      <c r="X23" s="571">
        <v>0</v>
      </c>
      <c r="Y23" s="565"/>
      <c r="Z23" s="571">
        <v>0</v>
      </c>
      <c r="AA23" s="565"/>
      <c r="AB23" s="571">
        <v>0</v>
      </c>
      <c r="AC23" s="568">
        <v>20</v>
      </c>
      <c r="AD23" s="569">
        <f t="shared" si="4"/>
        <v>0.010121057362122848</v>
      </c>
      <c r="AE23" s="576">
        <f t="shared" si="6"/>
        <v>4712</v>
      </c>
    </row>
    <row r="24" spans="1:31" ht="9.75" customHeight="1">
      <c r="A24" s="22"/>
      <c r="B24" s="22"/>
      <c r="C24" s="568">
        <v>15</v>
      </c>
      <c r="D24" s="568">
        <v>300</v>
      </c>
      <c r="E24" s="51">
        <v>0.003</v>
      </c>
      <c r="F24" s="54">
        <f t="shared" si="0"/>
        <v>3.536381541223261</v>
      </c>
      <c r="G24" s="102">
        <v>0</v>
      </c>
      <c r="H24" s="568">
        <v>1962</v>
      </c>
      <c r="I24" s="576">
        <f>I$28</f>
        <v>4692</v>
      </c>
      <c r="J24" s="50">
        <f t="shared" si="1"/>
        <v>3.2704779917669287</v>
      </c>
      <c r="K24" s="54">
        <f t="shared" si="2"/>
        <v>2.3744000571540202</v>
      </c>
      <c r="L24" s="107">
        <f t="shared" si="7"/>
        <v>3.536381541223261</v>
      </c>
      <c r="M24" s="575">
        <f t="shared" si="8"/>
        <v>4692</v>
      </c>
      <c r="N24" s="569">
        <f t="shared" si="3"/>
        <v>2.3744000571540202</v>
      </c>
      <c r="O24" s="565"/>
      <c r="P24" s="571">
        <v>0</v>
      </c>
      <c r="Q24" s="565"/>
      <c r="R24" s="571">
        <v>0</v>
      </c>
      <c r="S24" s="565"/>
      <c r="T24" s="571">
        <v>0</v>
      </c>
      <c r="U24" s="565"/>
      <c r="V24" s="571">
        <v>0</v>
      </c>
      <c r="W24" s="565"/>
      <c r="X24" s="571">
        <v>0</v>
      </c>
      <c r="Y24" s="565"/>
      <c r="Z24" s="571">
        <v>0</v>
      </c>
      <c r="AA24" s="565"/>
      <c r="AB24" s="571">
        <v>0</v>
      </c>
      <c r="AC24" s="568">
        <v>20</v>
      </c>
      <c r="AD24" s="569">
        <f t="shared" si="4"/>
        <v>0.010121057362122848</v>
      </c>
      <c r="AE24" s="576">
        <f t="shared" si="6"/>
        <v>4712</v>
      </c>
    </row>
    <row r="25" spans="1:31" ht="9.75" customHeight="1">
      <c r="A25" s="22"/>
      <c r="B25" s="22"/>
      <c r="C25" s="568">
        <v>15</v>
      </c>
      <c r="D25" s="568">
        <v>310</v>
      </c>
      <c r="E25" s="51">
        <v>0.003</v>
      </c>
      <c r="F25" s="54">
        <f t="shared" si="0"/>
        <v>3.536381541223261</v>
      </c>
      <c r="G25" s="102" t="s">
        <v>220</v>
      </c>
      <c r="H25" s="568">
        <v>1962</v>
      </c>
      <c r="I25" s="576">
        <f>I$28</f>
        <v>4692</v>
      </c>
      <c r="J25" s="50">
        <f t="shared" si="1"/>
        <v>3.2704779917669287</v>
      </c>
      <c r="K25" s="54">
        <f t="shared" si="2"/>
        <v>2.3744000571540202</v>
      </c>
      <c r="L25" s="107">
        <f t="shared" si="7"/>
        <v>3.536381541223261</v>
      </c>
      <c r="M25" s="575">
        <f t="shared" si="8"/>
        <v>4692</v>
      </c>
      <c r="N25" s="569">
        <f t="shared" si="3"/>
        <v>2.3744000571540202</v>
      </c>
      <c r="O25" s="565"/>
      <c r="P25" s="571">
        <v>0</v>
      </c>
      <c r="Q25" s="565"/>
      <c r="R25" s="571">
        <v>0</v>
      </c>
      <c r="S25" s="565"/>
      <c r="T25" s="571">
        <v>0</v>
      </c>
      <c r="U25" s="565"/>
      <c r="V25" s="571">
        <v>0</v>
      </c>
      <c r="W25" s="565"/>
      <c r="X25" s="571">
        <v>0</v>
      </c>
      <c r="Y25" s="565"/>
      <c r="Z25" s="571">
        <v>0</v>
      </c>
      <c r="AA25" s="565"/>
      <c r="AB25" s="571">
        <v>0</v>
      </c>
      <c r="AC25" s="568">
        <v>20</v>
      </c>
      <c r="AD25" s="569">
        <f t="shared" si="4"/>
        <v>0.010121057362122848</v>
      </c>
      <c r="AE25" s="576">
        <f t="shared" si="6"/>
        <v>4712</v>
      </c>
    </row>
    <row r="26" spans="1:31" ht="9.75" customHeight="1">
      <c r="A26" s="22"/>
      <c r="B26" s="22"/>
      <c r="C26" s="568">
        <v>15</v>
      </c>
      <c r="D26" s="568">
        <v>250</v>
      </c>
      <c r="E26" s="51">
        <v>0.003</v>
      </c>
      <c r="F26" s="54">
        <f t="shared" si="0"/>
        <v>3.536381541223261</v>
      </c>
      <c r="G26" s="102">
        <v>0</v>
      </c>
      <c r="H26" s="568">
        <v>1962</v>
      </c>
      <c r="I26" s="576">
        <f>I$28</f>
        <v>4692</v>
      </c>
      <c r="J26" s="50">
        <f t="shared" si="1"/>
        <v>3.2704779917669287</v>
      </c>
      <c r="K26" s="54">
        <f t="shared" si="2"/>
        <v>2.3744000571540202</v>
      </c>
      <c r="L26" s="107">
        <f t="shared" si="7"/>
        <v>3.536381541223261</v>
      </c>
      <c r="M26" s="575">
        <f t="shared" si="8"/>
        <v>4692</v>
      </c>
      <c r="N26" s="569">
        <f t="shared" si="3"/>
        <v>2.3744000571540202</v>
      </c>
      <c r="O26" s="565"/>
      <c r="P26" s="571">
        <v>0</v>
      </c>
      <c r="Q26" s="565"/>
      <c r="R26" s="571">
        <v>0</v>
      </c>
      <c r="S26" s="565"/>
      <c r="T26" s="571">
        <v>0</v>
      </c>
      <c r="U26" s="565"/>
      <c r="V26" s="571">
        <v>0</v>
      </c>
      <c r="W26" s="565"/>
      <c r="X26" s="571">
        <v>0</v>
      </c>
      <c r="Y26" s="565"/>
      <c r="Z26" s="571">
        <v>0</v>
      </c>
      <c r="AA26" s="565"/>
      <c r="AB26" s="571">
        <v>0</v>
      </c>
      <c r="AC26" s="568">
        <v>20</v>
      </c>
      <c r="AD26" s="569">
        <f t="shared" si="4"/>
        <v>0.010121057362122848</v>
      </c>
      <c r="AE26" s="576">
        <f t="shared" si="6"/>
        <v>4712</v>
      </c>
    </row>
    <row r="27" spans="1:31" ht="9.75" customHeight="1">
      <c r="A27" s="22"/>
      <c r="B27" s="22"/>
      <c r="C27" s="568">
        <v>15</v>
      </c>
      <c r="D27" s="568">
        <v>142</v>
      </c>
      <c r="E27" s="51">
        <v>0.003</v>
      </c>
      <c r="F27" s="54">
        <f t="shared" si="0"/>
        <v>3.536381541223261</v>
      </c>
      <c r="G27" s="102">
        <v>0</v>
      </c>
      <c r="H27" s="568">
        <v>1962</v>
      </c>
      <c r="I27" s="576">
        <f>I$28</f>
        <v>4692</v>
      </c>
      <c r="J27" s="50">
        <f t="shared" si="1"/>
        <v>3.2704779917669287</v>
      </c>
      <c r="K27" s="54">
        <f t="shared" si="2"/>
        <v>2.3744000571540202</v>
      </c>
      <c r="L27" s="107">
        <f t="shared" si="7"/>
        <v>3.536381541223261</v>
      </c>
      <c r="M27" s="575">
        <f t="shared" si="8"/>
        <v>4692</v>
      </c>
      <c r="N27" s="569">
        <f t="shared" si="3"/>
        <v>2.3744000571540202</v>
      </c>
      <c r="O27" s="565"/>
      <c r="P27" s="571">
        <v>0</v>
      </c>
      <c r="Q27" s="565"/>
      <c r="R27" s="571">
        <v>0</v>
      </c>
      <c r="S27" s="565"/>
      <c r="T27" s="571">
        <v>0</v>
      </c>
      <c r="U27" s="565"/>
      <c r="V27" s="571">
        <v>0</v>
      </c>
      <c r="W27" s="565"/>
      <c r="X27" s="571">
        <v>0</v>
      </c>
      <c r="Y27" s="565"/>
      <c r="Z27" s="571">
        <v>0</v>
      </c>
      <c r="AA27" s="565"/>
      <c r="AB27" s="571">
        <v>0</v>
      </c>
      <c r="AC27" s="568">
        <v>20</v>
      </c>
      <c r="AD27" s="569">
        <f t="shared" si="4"/>
        <v>0.010121057362122848</v>
      </c>
      <c r="AE27" s="576">
        <f t="shared" si="6"/>
        <v>4712</v>
      </c>
    </row>
    <row r="28" spans="1:31" ht="9.75" customHeight="1">
      <c r="A28" s="22"/>
      <c r="B28" s="22"/>
      <c r="C28" s="568">
        <v>15</v>
      </c>
      <c r="D28" s="568">
        <v>290</v>
      </c>
      <c r="E28" s="51">
        <v>0.003</v>
      </c>
      <c r="F28" s="54">
        <f t="shared" si="0"/>
        <v>3.536381541223261</v>
      </c>
      <c r="G28" s="102">
        <v>0</v>
      </c>
      <c r="H28" s="568">
        <v>1962</v>
      </c>
      <c r="I28" s="576">
        <v>4692</v>
      </c>
      <c r="J28" s="50">
        <f t="shared" si="1"/>
        <v>3.2704779917669287</v>
      </c>
      <c r="K28" s="54">
        <f t="shared" si="2"/>
        <v>2.3744000571540202</v>
      </c>
      <c r="L28" s="107">
        <f t="shared" si="7"/>
        <v>3.536381541223261</v>
      </c>
      <c r="M28" s="575">
        <v>4692</v>
      </c>
      <c r="N28" s="569">
        <f t="shared" si="3"/>
        <v>2.3744000571540202</v>
      </c>
      <c r="O28" s="565"/>
      <c r="P28" s="571">
        <v>0</v>
      </c>
      <c r="Q28" s="565"/>
      <c r="R28" s="571">
        <v>0</v>
      </c>
      <c r="S28" s="565"/>
      <c r="T28" s="571">
        <v>0</v>
      </c>
      <c r="U28" s="565"/>
      <c r="V28" s="571">
        <v>0</v>
      </c>
      <c r="W28" s="565"/>
      <c r="X28" s="571">
        <v>0</v>
      </c>
      <c r="Y28" s="565"/>
      <c r="Z28" s="571">
        <v>0</v>
      </c>
      <c r="AA28" s="565"/>
      <c r="AB28" s="571">
        <v>0</v>
      </c>
      <c r="AC28" s="568">
        <v>20</v>
      </c>
      <c r="AD28" s="569">
        <f t="shared" si="4"/>
        <v>0.010121057362122848</v>
      </c>
      <c r="AE28" s="576">
        <f t="shared" si="6"/>
        <v>4712</v>
      </c>
    </row>
    <row r="29" spans="2:31" ht="9.75" customHeight="1">
      <c r="B29" s="22" t="s">
        <v>366</v>
      </c>
      <c r="C29" s="568">
        <v>18</v>
      </c>
      <c r="D29" s="568">
        <v>195</v>
      </c>
      <c r="E29" s="51">
        <v>0.002</v>
      </c>
      <c r="F29" s="54">
        <f t="shared" si="0"/>
        <v>4.695301392460716</v>
      </c>
      <c r="G29" s="102">
        <v>0</v>
      </c>
      <c r="H29" s="568">
        <v>1962</v>
      </c>
      <c r="I29" s="576">
        <v>4692</v>
      </c>
      <c r="J29" s="50">
        <f t="shared" si="1"/>
        <v>3.2704779917669287</v>
      </c>
      <c r="K29" s="54">
        <f t="shared" si="2"/>
        <v>2.3744000571540202</v>
      </c>
      <c r="L29" s="107">
        <f t="shared" si="7"/>
        <v>4.695301392460716</v>
      </c>
      <c r="M29" s="575">
        <v>4692</v>
      </c>
      <c r="N29" s="569">
        <f t="shared" si="3"/>
        <v>2.3744000571540202</v>
      </c>
      <c r="O29" s="565"/>
      <c r="P29" s="571">
        <v>0</v>
      </c>
      <c r="Q29" s="565"/>
      <c r="R29" s="571">
        <v>0</v>
      </c>
      <c r="S29" s="565"/>
      <c r="T29" s="571">
        <v>0</v>
      </c>
      <c r="U29" s="565"/>
      <c r="V29" s="571">
        <v>0</v>
      </c>
      <c r="W29" s="565"/>
      <c r="X29" s="571">
        <v>0</v>
      </c>
      <c r="Y29" s="565"/>
      <c r="Z29" s="571">
        <v>0</v>
      </c>
      <c r="AA29" s="565"/>
      <c r="AB29" s="571">
        <v>0</v>
      </c>
      <c r="AC29" s="568">
        <v>20</v>
      </c>
      <c r="AD29" s="569">
        <f t="shared" si="4"/>
        <v>0.010121057362122848</v>
      </c>
      <c r="AE29" s="576">
        <f t="shared" si="6"/>
        <v>4712</v>
      </c>
    </row>
    <row r="30" spans="1:31" ht="9.75" customHeight="1">
      <c r="A30" s="22"/>
      <c r="B30" s="22"/>
      <c r="C30" s="568">
        <v>18</v>
      </c>
      <c r="D30" s="568">
        <v>24</v>
      </c>
      <c r="E30" s="51">
        <v>0.002</v>
      </c>
      <c r="F30" s="54">
        <f t="shared" si="0"/>
        <v>4.695301392460716</v>
      </c>
      <c r="G30" s="102">
        <v>0</v>
      </c>
      <c r="H30" s="568">
        <v>1964</v>
      </c>
      <c r="I30" s="576">
        <v>4692</v>
      </c>
      <c r="J30" s="50">
        <f t="shared" si="1"/>
        <v>3.2704779917669287</v>
      </c>
      <c r="K30" s="54">
        <f t="shared" si="2"/>
        <v>2.3744000571540202</v>
      </c>
      <c r="L30" s="107">
        <f t="shared" si="7"/>
        <v>4.695301392460716</v>
      </c>
      <c r="M30" s="575">
        <v>4692</v>
      </c>
      <c r="N30" s="569">
        <f t="shared" si="3"/>
        <v>2.3744000571540202</v>
      </c>
      <c r="O30" s="565"/>
      <c r="P30" s="571">
        <v>0</v>
      </c>
      <c r="Q30" s="565"/>
      <c r="R30" s="571">
        <v>0</v>
      </c>
      <c r="S30" s="565"/>
      <c r="T30" s="571">
        <v>0</v>
      </c>
      <c r="U30" s="565"/>
      <c r="V30" s="571">
        <v>0</v>
      </c>
      <c r="W30" s="565"/>
      <c r="X30" s="571">
        <v>0</v>
      </c>
      <c r="Y30" s="565"/>
      <c r="Z30" s="571">
        <v>0</v>
      </c>
      <c r="AA30" s="565"/>
      <c r="AB30" s="571">
        <v>0</v>
      </c>
      <c r="AC30" s="568">
        <v>20</v>
      </c>
      <c r="AD30" s="569">
        <f t="shared" si="4"/>
        <v>0.010121057362122848</v>
      </c>
      <c r="AE30" s="576">
        <f t="shared" si="6"/>
        <v>4712</v>
      </c>
    </row>
    <row r="31" spans="1:31" ht="9.75" customHeight="1">
      <c r="A31" s="22" t="s">
        <v>227</v>
      </c>
      <c r="B31" s="22" t="s">
        <v>372</v>
      </c>
      <c r="C31" s="568">
        <v>21</v>
      </c>
      <c r="D31" s="568">
        <v>452</v>
      </c>
      <c r="E31" s="51">
        <v>0.001</v>
      </c>
      <c r="F31" s="54">
        <f t="shared" si="0"/>
        <v>5.008102967585661</v>
      </c>
      <c r="G31" s="102">
        <v>0</v>
      </c>
      <c r="H31" s="568">
        <v>1964</v>
      </c>
      <c r="I31" s="576">
        <v>4692</v>
      </c>
      <c r="J31" s="50">
        <f t="shared" si="1"/>
        <v>3.2704779917669287</v>
      </c>
      <c r="K31" s="54">
        <f t="shared" si="2"/>
        <v>2.3744000571540202</v>
      </c>
      <c r="L31" s="107">
        <f t="shared" si="7"/>
        <v>5.008102967585661</v>
      </c>
      <c r="M31" s="575">
        <v>4692</v>
      </c>
      <c r="N31" s="569">
        <f t="shared" si="3"/>
        <v>2.3744000571540202</v>
      </c>
      <c r="O31" s="565"/>
      <c r="P31" s="571">
        <v>0</v>
      </c>
      <c r="Q31" s="565"/>
      <c r="R31" s="571">
        <v>0</v>
      </c>
      <c r="S31" s="565"/>
      <c r="T31" s="571">
        <v>0</v>
      </c>
      <c r="U31" s="565"/>
      <c r="V31" s="571">
        <v>0</v>
      </c>
      <c r="W31" s="565"/>
      <c r="X31" s="571">
        <v>0</v>
      </c>
      <c r="Y31" s="565"/>
      <c r="Z31" s="571">
        <v>0</v>
      </c>
      <c r="AA31" s="565"/>
      <c r="AB31" s="571">
        <v>0</v>
      </c>
      <c r="AC31" s="568">
        <v>20</v>
      </c>
      <c r="AD31" s="569">
        <f t="shared" si="4"/>
        <v>0.010121057362122848</v>
      </c>
      <c r="AE31" s="576">
        <f t="shared" si="6"/>
        <v>4712</v>
      </c>
    </row>
    <row r="32" spans="1:31" ht="9.75" customHeight="1">
      <c r="A32" s="22"/>
      <c r="B32" s="22"/>
      <c r="C32" s="568">
        <v>21</v>
      </c>
      <c r="D32" s="568">
        <v>447</v>
      </c>
      <c r="E32" s="51">
        <v>0.001</v>
      </c>
      <c r="F32" s="54">
        <f t="shared" si="0"/>
        <v>5.008102967585661</v>
      </c>
      <c r="G32" s="102">
        <v>0</v>
      </c>
      <c r="H32" s="568">
        <v>1964</v>
      </c>
      <c r="I32" s="576">
        <v>4692</v>
      </c>
      <c r="J32" s="50">
        <f t="shared" si="1"/>
        <v>3.2704779917669287</v>
      </c>
      <c r="K32" s="54">
        <f t="shared" si="2"/>
        <v>2.3744000571540202</v>
      </c>
      <c r="L32" s="107">
        <f t="shared" si="7"/>
        <v>5.008102967585661</v>
      </c>
      <c r="M32" s="575">
        <v>4692</v>
      </c>
      <c r="N32" s="569">
        <f t="shared" si="3"/>
        <v>2.3744000571540202</v>
      </c>
      <c r="O32" s="565"/>
      <c r="P32" s="571">
        <v>0</v>
      </c>
      <c r="Q32" s="565"/>
      <c r="R32" s="571">
        <v>0</v>
      </c>
      <c r="S32" s="565"/>
      <c r="T32" s="571">
        <v>0</v>
      </c>
      <c r="U32" s="565"/>
      <c r="V32" s="571">
        <v>0</v>
      </c>
      <c r="W32" s="565"/>
      <c r="X32" s="571">
        <v>0</v>
      </c>
      <c r="Y32" s="565"/>
      <c r="Z32" s="571">
        <v>0</v>
      </c>
      <c r="AA32" s="565"/>
      <c r="AB32" s="571">
        <v>0</v>
      </c>
      <c r="AC32" s="568">
        <v>20</v>
      </c>
      <c r="AD32" s="569">
        <f t="shared" si="4"/>
        <v>0.010121057362122848</v>
      </c>
      <c r="AE32" s="576">
        <f t="shared" si="6"/>
        <v>4712</v>
      </c>
    </row>
    <row r="33" spans="2:31" ht="9.75" customHeight="1">
      <c r="B33" s="22" t="s">
        <v>374</v>
      </c>
      <c r="C33" s="568">
        <v>21</v>
      </c>
      <c r="D33" s="568">
        <v>157</v>
      </c>
      <c r="E33" s="51">
        <v>0.0014</v>
      </c>
      <c r="F33" s="54">
        <f t="shared" si="0"/>
        <v>5.925667343642945</v>
      </c>
      <c r="G33" s="102">
        <v>0</v>
      </c>
      <c r="H33" s="568">
        <v>1964</v>
      </c>
      <c r="I33" s="576">
        <v>4692</v>
      </c>
      <c r="J33" s="50">
        <f t="shared" si="1"/>
        <v>3.2704779917669287</v>
      </c>
      <c r="K33" s="54">
        <f t="shared" si="2"/>
        <v>2.3744000571540202</v>
      </c>
      <c r="L33" s="107">
        <f t="shared" si="7"/>
        <v>5.925667343642945</v>
      </c>
      <c r="M33" s="575">
        <v>4692</v>
      </c>
      <c r="N33" s="569">
        <f t="shared" si="3"/>
        <v>2.3744000571540202</v>
      </c>
      <c r="O33" s="565"/>
      <c r="P33" s="571">
        <v>0</v>
      </c>
      <c r="Q33" s="565"/>
      <c r="R33" s="571">
        <v>0</v>
      </c>
      <c r="S33" s="565"/>
      <c r="T33" s="571">
        <v>0</v>
      </c>
      <c r="U33" s="565"/>
      <c r="V33" s="571">
        <v>0</v>
      </c>
      <c r="W33" s="565"/>
      <c r="X33" s="571">
        <v>0</v>
      </c>
      <c r="Y33" s="565"/>
      <c r="Z33" s="571">
        <v>0</v>
      </c>
      <c r="AA33" s="565"/>
      <c r="AB33" s="571">
        <v>0</v>
      </c>
      <c r="AC33" s="568">
        <v>20</v>
      </c>
      <c r="AD33" s="569">
        <f t="shared" si="4"/>
        <v>0.010121057362122848</v>
      </c>
      <c r="AE33" s="576">
        <f t="shared" si="6"/>
        <v>4712</v>
      </c>
    </row>
    <row r="34" spans="1:31" ht="9.75" customHeight="1">
      <c r="A34" s="22"/>
      <c r="B34" s="22"/>
      <c r="C34" s="568">
        <v>21</v>
      </c>
      <c r="D34" s="568">
        <v>488</v>
      </c>
      <c r="E34" s="51">
        <v>0.0014</v>
      </c>
      <c r="F34" s="54">
        <f t="shared" si="0"/>
        <v>5.925667343642945</v>
      </c>
      <c r="G34" s="102" t="s">
        <v>220</v>
      </c>
      <c r="H34" s="568">
        <v>1964</v>
      </c>
      <c r="I34" s="576">
        <v>4692</v>
      </c>
      <c r="J34" s="50">
        <f t="shared" si="1"/>
        <v>3.2704779917669287</v>
      </c>
      <c r="K34" s="54">
        <f t="shared" si="2"/>
        <v>2.3744000571540202</v>
      </c>
      <c r="L34" s="107">
        <f t="shared" si="7"/>
        <v>5.925667343642945</v>
      </c>
      <c r="M34" s="575">
        <v>4692</v>
      </c>
      <c r="N34" s="569">
        <f t="shared" si="3"/>
        <v>2.3744000571540202</v>
      </c>
      <c r="O34" s="565"/>
      <c r="P34" s="571">
        <v>0</v>
      </c>
      <c r="Q34" s="565"/>
      <c r="R34" s="571">
        <v>0</v>
      </c>
      <c r="S34" s="565"/>
      <c r="T34" s="571">
        <v>0</v>
      </c>
      <c r="U34" s="565"/>
      <c r="V34" s="571">
        <v>0</v>
      </c>
      <c r="W34" s="565"/>
      <c r="X34" s="571">
        <v>0</v>
      </c>
      <c r="Y34" s="565"/>
      <c r="Z34" s="571">
        <v>0</v>
      </c>
      <c r="AA34" s="565"/>
      <c r="AB34" s="571">
        <v>0</v>
      </c>
      <c r="AC34" s="568">
        <v>20</v>
      </c>
      <c r="AD34" s="569">
        <f t="shared" si="4"/>
        <v>0.010121057362122848</v>
      </c>
      <c r="AE34" s="576">
        <f t="shared" si="6"/>
        <v>4712</v>
      </c>
    </row>
    <row r="35" spans="1:31" ht="9.75" customHeight="1">
      <c r="A35" s="22" t="s">
        <v>335</v>
      </c>
      <c r="B35" s="22" t="s">
        <v>227</v>
      </c>
      <c r="C35" s="568">
        <v>21</v>
      </c>
      <c r="D35" s="568">
        <v>50</v>
      </c>
      <c r="E35" s="51">
        <v>0.0014</v>
      </c>
      <c r="F35" s="54">
        <f t="shared" si="0"/>
        <v>5.925667343642945</v>
      </c>
      <c r="G35" s="102">
        <v>0</v>
      </c>
      <c r="H35" s="568">
        <v>1964</v>
      </c>
      <c r="I35" s="576">
        <v>4692</v>
      </c>
      <c r="J35" s="50">
        <f t="shared" si="1"/>
        <v>3.2704779917669287</v>
      </c>
      <c r="K35" s="54">
        <f t="shared" si="2"/>
        <v>2.3744000571540202</v>
      </c>
      <c r="L35" s="107">
        <f t="shared" si="7"/>
        <v>5.925667343642945</v>
      </c>
      <c r="M35" s="575">
        <v>4692</v>
      </c>
      <c r="N35" s="569">
        <f t="shared" si="3"/>
        <v>2.3744000571540202</v>
      </c>
      <c r="O35" s="565"/>
      <c r="P35" s="571">
        <v>0</v>
      </c>
      <c r="Q35" s="565"/>
      <c r="R35" s="571">
        <v>0</v>
      </c>
      <c r="S35" s="565"/>
      <c r="T35" s="571">
        <v>0</v>
      </c>
      <c r="U35" s="565"/>
      <c r="V35" s="571">
        <v>0</v>
      </c>
      <c r="W35" s="565"/>
      <c r="X35" s="571">
        <v>0</v>
      </c>
      <c r="Y35" s="565"/>
      <c r="Z35" s="571">
        <v>0</v>
      </c>
      <c r="AA35" s="565"/>
      <c r="AB35" s="571">
        <v>0</v>
      </c>
      <c r="AC35" s="568">
        <v>20</v>
      </c>
      <c r="AD35" s="569">
        <f t="shared" si="4"/>
        <v>0.010121057362122848</v>
      </c>
      <c r="AE35" s="576">
        <f t="shared" si="6"/>
        <v>4712</v>
      </c>
    </row>
    <row r="36" spans="1:31" ht="9.75" customHeight="1">
      <c r="A36" s="22"/>
      <c r="B36" s="22"/>
      <c r="C36" s="568">
        <v>21</v>
      </c>
      <c r="D36" s="568">
        <v>475</v>
      </c>
      <c r="E36" s="51">
        <v>0.0014</v>
      </c>
      <c r="F36" s="54">
        <f t="shared" si="0"/>
        <v>5.925667343642945</v>
      </c>
      <c r="G36" s="102">
        <v>0</v>
      </c>
      <c r="H36" s="568">
        <v>1970</v>
      </c>
      <c r="I36" s="576">
        <v>4692</v>
      </c>
      <c r="J36" s="50">
        <f t="shared" si="1"/>
        <v>3.2704779917669287</v>
      </c>
      <c r="K36" s="54">
        <f t="shared" si="2"/>
        <v>2.3744000571540202</v>
      </c>
      <c r="L36" s="107">
        <f t="shared" si="7"/>
        <v>5.925667343642945</v>
      </c>
      <c r="M36" s="575">
        <v>4692</v>
      </c>
      <c r="N36" s="569">
        <f t="shared" si="3"/>
        <v>2.3744000571540202</v>
      </c>
      <c r="O36" s="565"/>
      <c r="P36" s="571">
        <v>0</v>
      </c>
      <c r="Q36" s="565"/>
      <c r="R36" s="571">
        <v>0</v>
      </c>
      <c r="S36" s="565"/>
      <c r="T36" s="571">
        <v>0</v>
      </c>
      <c r="U36" s="565"/>
      <c r="V36" s="571">
        <v>0</v>
      </c>
      <c r="W36" s="565"/>
      <c r="X36" s="571">
        <v>0</v>
      </c>
      <c r="Y36" s="565"/>
      <c r="Z36" s="571">
        <v>0</v>
      </c>
      <c r="AA36" s="565"/>
      <c r="AB36" s="571">
        <v>0</v>
      </c>
      <c r="AC36" s="568">
        <v>20</v>
      </c>
      <c r="AD36" s="569">
        <f t="shared" si="4"/>
        <v>0.010121057362122848</v>
      </c>
      <c r="AE36" s="576">
        <f t="shared" si="6"/>
        <v>4712</v>
      </c>
    </row>
    <row r="37" spans="1:31" ht="9.75" customHeight="1">
      <c r="A37" s="22"/>
      <c r="B37" s="22"/>
      <c r="C37" s="568">
        <v>21</v>
      </c>
      <c r="D37" s="568">
        <v>161</v>
      </c>
      <c r="E37" s="51">
        <v>0.0014</v>
      </c>
      <c r="F37" s="54">
        <f t="shared" si="0"/>
        <v>5.925667343642945</v>
      </c>
      <c r="G37" s="102" t="s">
        <v>220</v>
      </c>
      <c r="H37" s="568">
        <v>1973</v>
      </c>
      <c r="I37" s="576">
        <v>4692</v>
      </c>
      <c r="J37" s="50">
        <f t="shared" si="1"/>
        <v>3.2704779917669287</v>
      </c>
      <c r="K37" s="54">
        <f t="shared" si="2"/>
        <v>2.3744000571540202</v>
      </c>
      <c r="L37" s="107">
        <f t="shared" si="7"/>
        <v>5.925667343642945</v>
      </c>
      <c r="M37" s="575">
        <v>4692</v>
      </c>
      <c r="N37" s="569">
        <f t="shared" si="3"/>
        <v>2.3744000571540202</v>
      </c>
      <c r="O37" s="565"/>
      <c r="P37" s="571">
        <v>0</v>
      </c>
      <c r="Q37" s="565"/>
      <c r="R37" s="571">
        <v>0</v>
      </c>
      <c r="S37" s="565"/>
      <c r="T37" s="571">
        <v>0</v>
      </c>
      <c r="U37" s="565"/>
      <c r="V37" s="571">
        <v>0</v>
      </c>
      <c r="W37" s="565"/>
      <c r="X37" s="571">
        <v>0</v>
      </c>
      <c r="Y37" s="565"/>
      <c r="Z37" s="571">
        <v>0</v>
      </c>
      <c r="AA37" s="565"/>
      <c r="AB37" s="571">
        <v>0</v>
      </c>
      <c r="AC37" s="568">
        <v>20</v>
      </c>
      <c r="AD37" s="569">
        <f t="shared" si="4"/>
        <v>0.010121057362122848</v>
      </c>
      <c r="AE37" s="576">
        <f t="shared" si="6"/>
        <v>4712</v>
      </c>
    </row>
    <row r="38" spans="1:31" ht="9.75" customHeight="1">
      <c r="A38" s="22"/>
      <c r="B38" s="22"/>
      <c r="C38" s="568">
        <v>21</v>
      </c>
      <c r="D38" s="568">
        <v>48</v>
      </c>
      <c r="E38" s="51">
        <v>0.0014</v>
      </c>
      <c r="F38" s="54">
        <f t="shared" si="0"/>
        <v>5.925667343642945</v>
      </c>
      <c r="G38" s="102">
        <v>0</v>
      </c>
      <c r="H38" s="568">
        <v>1973</v>
      </c>
      <c r="I38" s="576">
        <f>I$40</f>
        <v>7750</v>
      </c>
      <c r="J38" s="50">
        <f t="shared" si="1"/>
        <v>3.0637150860836173</v>
      </c>
      <c r="K38" s="54">
        <f t="shared" si="2"/>
        <v>3.6739626530544465</v>
      </c>
      <c r="L38" s="107">
        <f t="shared" si="7"/>
        <v>5.925667343642945</v>
      </c>
      <c r="M38" s="575">
        <v>4692</v>
      </c>
      <c r="N38" s="569">
        <f t="shared" si="3"/>
        <v>2.2242880991137373</v>
      </c>
      <c r="O38" s="565"/>
      <c r="P38" s="571">
        <v>0</v>
      </c>
      <c r="Q38" s="565"/>
      <c r="R38" s="571">
        <v>0</v>
      </c>
      <c r="S38" s="565"/>
      <c r="T38" s="571">
        <v>0</v>
      </c>
      <c r="U38" s="565"/>
      <c r="V38" s="571">
        <v>0</v>
      </c>
      <c r="W38" s="565"/>
      <c r="X38" s="571">
        <v>0</v>
      </c>
      <c r="Y38" s="565"/>
      <c r="Z38" s="571">
        <v>0</v>
      </c>
      <c r="AA38" s="565"/>
      <c r="AB38" s="571">
        <v>0</v>
      </c>
      <c r="AC38" s="568">
        <v>20</v>
      </c>
      <c r="AD38" s="569">
        <f t="shared" si="4"/>
        <v>0.009481193943366314</v>
      </c>
      <c r="AE38" s="576">
        <f t="shared" si="6"/>
        <v>4712</v>
      </c>
    </row>
    <row r="39" spans="1:31" ht="9.75" customHeight="1">
      <c r="A39" s="22" t="s">
        <v>356</v>
      </c>
      <c r="B39" s="22" t="s">
        <v>335</v>
      </c>
      <c r="C39" s="568">
        <v>21</v>
      </c>
      <c r="D39" s="568">
        <v>350</v>
      </c>
      <c r="E39" s="51">
        <v>0.0014</v>
      </c>
      <c r="F39" s="54">
        <f t="shared" si="0"/>
        <v>5.925667343642945</v>
      </c>
      <c r="G39" s="102">
        <v>5.31</v>
      </c>
      <c r="H39" s="568">
        <v>1973</v>
      </c>
      <c r="I39" s="576">
        <f>I$40</f>
        <v>7750</v>
      </c>
      <c r="J39" s="50">
        <f t="shared" si="1"/>
        <v>3.0637150860836173</v>
      </c>
      <c r="K39" s="54">
        <f t="shared" si="2"/>
        <v>3.6739626530544465</v>
      </c>
      <c r="L39" s="42">
        <f aca="true" t="shared" si="9" ref="L39:L53">G39</f>
        <v>5.31</v>
      </c>
      <c r="M39" s="575">
        <v>5931</v>
      </c>
      <c r="N39" s="569">
        <f t="shared" si="3"/>
        <v>2.811648063905281</v>
      </c>
      <c r="O39" s="565"/>
      <c r="P39" s="571">
        <v>0</v>
      </c>
      <c r="Q39" s="565"/>
      <c r="R39" s="571">
        <v>0</v>
      </c>
      <c r="S39" s="565"/>
      <c r="T39" s="571">
        <v>0</v>
      </c>
      <c r="U39" s="565"/>
      <c r="V39" s="571">
        <v>0</v>
      </c>
      <c r="W39" s="565"/>
      <c r="X39" s="571">
        <v>0</v>
      </c>
      <c r="Y39" s="565"/>
      <c r="Z39" s="571">
        <v>0</v>
      </c>
      <c r="AA39" s="565"/>
      <c r="AB39" s="571">
        <v>0</v>
      </c>
      <c r="AC39" s="568">
        <v>20</v>
      </c>
      <c r="AD39" s="569">
        <f t="shared" si="4"/>
        <v>0.009481193943366314</v>
      </c>
      <c r="AE39" s="576">
        <f t="shared" si="6"/>
        <v>5951</v>
      </c>
    </row>
    <row r="40" spans="2:31" ht="9.75" customHeight="1">
      <c r="B40" s="22" t="s">
        <v>367</v>
      </c>
      <c r="C40" s="568">
        <v>21</v>
      </c>
      <c r="D40" s="568">
        <v>454</v>
      </c>
      <c r="E40" s="51">
        <v>0.0014</v>
      </c>
      <c r="F40" s="54">
        <f t="shared" si="0"/>
        <v>5.925667343642945</v>
      </c>
      <c r="G40" s="102">
        <v>5.31</v>
      </c>
      <c r="H40" s="568">
        <v>1973</v>
      </c>
      <c r="I40" s="576">
        <v>7750</v>
      </c>
      <c r="J40" s="50">
        <f t="shared" si="1"/>
        <v>3.0637150860836173</v>
      </c>
      <c r="K40" s="54">
        <f t="shared" si="2"/>
        <v>3.6739626530544465</v>
      </c>
      <c r="L40" s="42">
        <f t="shared" si="9"/>
        <v>5.31</v>
      </c>
      <c r="M40" s="575">
        <v>7750</v>
      </c>
      <c r="N40" s="569">
        <f t="shared" si="3"/>
        <v>3.6739626530544474</v>
      </c>
      <c r="O40" s="565"/>
      <c r="P40" s="571">
        <v>0</v>
      </c>
      <c r="Q40" s="565"/>
      <c r="R40" s="571">
        <v>0</v>
      </c>
      <c r="S40" s="565"/>
      <c r="T40" s="571">
        <v>0</v>
      </c>
      <c r="U40" s="565"/>
      <c r="V40" s="571">
        <v>0</v>
      </c>
      <c r="W40" s="565"/>
      <c r="X40" s="571">
        <v>0</v>
      </c>
      <c r="Y40" s="565"/>
      <c r="Z40" s="571">
        <v>0</v>
      </c>
      <c r="AA40" s="565"/>
      <c r="AB40" s="571">
        <v>0</v>
      </c>
      <c r="AC40" s="568">
        <v>20</v>
      </c>
      <c r="AD40" s="569">
        <f t="shared" si="4"/>
        <v>0.009481193943366314</v>
      </c>
      <c r="AE40" s="576">
        <f t="shared" si="6"/>
        <v>7770</v>
      </c>
    </row>
    <row r="41" spans="2:31" ht="9.75" customHeight="1">
      <c r="B41" s="22" t="s">
        <v>368</v>
      </c>
      <c r="C41" s="568">
        <v>21</v>
      </c>
      <c r="D41" s="568">
        <v>401</v>
      </c>
      <c r="E41" s="51">
        <v>0.0014</v>
      </c>
      <c r="F41" s="54">
        <f t="shared" si="0"/>
        <v>5.925667343642945</v>
      </c>
      <c r="G41" s="102">
        <v>5.31</v>
      </c>
      <c r="H41" s="568">
        <v>1973</v>
      </c>
      <c r="I41" s="576">
        <v>7750</v>
      </c>
      <c r="J41" s="50">
        <f t="shared" si="1"/>
        <v>3.0637150860836173</v>
      </c>
      <c r="K41" s="54">
        <f t="shared" si="2"/>
        <v>3.6739626530544465</v>
      </c>
      <c r="L41" s="42">
        <f t="shared" si="9"/>
        <v>5.31</v>
      </c>
      <c r="M41" s="575">
        <v>7750</v>
      </c>
      <c r="N41" s="569">
        <f t="shared" si="3"/>
        <v>3.6739626530544474</v>
      </c>
      <c r="O41" s="565"/>
      <c r="P41" s="571">
        <v>0</v>
      </c>
      <c r="Q41" s="565"/>
      <c r="R41" s="571">
        <v>0</v>
      </c>
      <c r="S41" s="565"/>
      <c r="T41" s="571">
        <v>0</v>
      </c>
      <c r="U41" s="565"/>
      <c r="V41" s="571">
        <v>0</v>
      </c>
      <c r="W41" s="565"/>
      <c r="X41" s="571">
        <v>0</v>
      </c>
      <c r="Y41" s="565"/>
      <c r="Z41" s="571">
        <v>0</v>
      </c>
      <c r="AA41" s="565"/>
      <c r="AB41" s="571">
        <v>0</v>
      </c>
      <c r="AC41" s="568">
        <v>20</v>
      </c>
      <c r="AD41" s="569">
        <f t="shared" si="4"/>
        <v>0.009481193943366314</v>
      </c>
      <c r="AE41" s="576">
        <f t="shared" si="6"/>
        <v>7770</v>
      </c>
    </row>
    <row r="42" spans="2:31" ht="9.75" customHeight="1">
      <c r="B42" s="22" t="s">
        <v>337</v>
      </c>
      <c r="C42" s="568">
        <v>21</v>
      </c>
      <c r="D42" s="568">
        <v>439</v>
      </c>
      <c r="E42" s="51">
        <v>0.0014</v>
      </c>
      <c r="F42" s="54">
        <f t="shared" si="0"/>
        <v>5.925667343642945</v>
      </c>
      <c r="G42" s="102">
        <v>5.31</v>
      </c>
      <c r="H42" s="568">
        <v>1973</v>
      </c>
      <c r="I42" s="576">
        <v>7750</v>
      </c>
      <c r="J42" s="50">
        <f t="shared" si="1"/>
        <v>3.0637150860836173</v>
      </c>
      <c r="K42" s="54">
        <f t="shared" si="2"/>
        <v>3.6739626530544465</v>
      </c>
      <c r="L42" s="42">
        <f t="shared" si="9"/>
        <v>5.31</v>
      </c>
      <c r="M42" s="575">
        <v>7750</v>
      </c>
      <c r="N42" s="569">
        <f t="shared" si="3"/>
        <v>3.6739626530544474</v>
      </c>
      <c r="O42" s="565"/>
      <c r="P42" s="571">
        <v>0</v>
      </c>
      <c r="Q42" s="565"/>
      <c r="R42" s="571">
        <v>0</v>
      </c>
      <c r="S42" s="565"/>
      <c r="T42" s="571">
        <v>0</v>
      </c>
      <c r="U42" s="565"/>
      <c r="V42" s="571">
        <v>0</v>
      </c>
      <c r="W42" s="565"/>
      <c r="X42" s="571">
        <v>0</v>
      </c>
      <c r="Y42" s="565"/>
      <c r="Z42" s="571">
        <v>0</v>
      </c>
      <c r="AA42" s="565"/>
      <c r="AB42" s="571">
        <v>0</v>
      </c>
      <c r="AC42" s="568">
        <v>20</v>
      </c>
      <c r="AD42" s="569">
        <f t="shared" si="4"/>
        <v>0.009481193943366314</v>
      </c>
      <c r="AE42" s="576">
        <f t="shared" si="6"/>
        <v>7770</v>
      </c>
    </row>
    <row r="43" spans="2:31" ht="9.75" customHeight="1">
      <c r="B43" s="22"/>
      <c r="C43" s="568">
        <v>21</v>
      </c>
      <c r="D43" s="568">
        <v>430</v>
      </c>
      <c r="E43" s="51">
        <v>0.0015</v>
      </c>
      <c r="F43" s="54">
        <f t="shared" si="0"/>
        <v>6.133648424951537</v>
      </c>
      <c r="G43" s="102">
        <v>5.31</v>
      </c>
      <c r="H43" s="568">
        <v>1973</v>
      </c>
      <c r="I43" s="576">
        <v>7750</v>
      </c>
      <c r="J43" s="50">
        <f t="shared" si="1"/>
        <v>3.0637150860836173</v>
      </c>
      <c r="K43" s="54">
        <f t="shared" si="2"/>
        <v>3.6739626530544465</v>
      </c>
      <c r="L43" s="42">
        <f t="shared" si="9"/>
        <v>5.31</v>
      </c>
      <c r="M43" s="575">
        <f>M$46</f>
        <v>7750</v>
      </c>
      <c r="N43" s="569">
        <f t="shared" si="3"/>
        <v>3.6739626530544474</v>
      </c>
      <c r="O43" s="565"/>
      <c r="P43" s="571">
        <v>0</v>
      </c>
      <c r="Q43" s="565"/>
      <c r="R43" s="571">
        <v>0</v>
      </c>
      <c r="S43" s="565"/>
      <c r="T43" s="571">
        <v>0</v>
      </c>
      <c r="U43" s="565"/>
      <c r="V43" s="571">
        <v>0</v>
      </c>
      <c r="W43" s="565"/>
      <c r="X43" s="571">
        <v>0</v>
      </c>
      <c r="Y43" s="565"/>
      <c r="Z43" s="571">
        <v>0</v>
      </c>
      <c r="AA43" s="565"/>
      <c r="AB43" s="571">
        <v>0</v>
      </c>
      <c r="AC43" s="568">
        <v>20</v>
      </c>
      <c r="AD43" s="569">
        <f t="shared" si="4"/>
        <v>0.009481193943366314</v>
      </c>
      <c r="AE43" s="576">
        <f t="shared" si="6"/>
        <v>7770</v>
      </c>
    </row>
    <row r="44" spans="2:31" ht="9.75" customHeight="1">
      <c r="B44" s="22" t="s">
        <v>369</v>
      </c>
      <c r="C44" s="568">
        <v>27</v>
      </c>
      <c r="D44" s="568">
        <v>50</v>
      </c>
      <c r="E44" s="51">
        <v>0.0011</v>
      </c>
      <c r="F44" s="54">
        <f t="shared" si="0"/>
        <v>10.266478701597023</v>
      </c>
      <c r="G44" s="102">
        <v>5.31</v>
      </c>
      <c r="H44" s="568">
        <v>1973</v>
      </c>
      <c r="I44" s="576">
        <v>7750</v>
      </c>
      <c r="J44" s="50">
        <f t="shared" si="1"/>
        <v>3.0637150860836173</v>
      </c>
      <c r="K44" s="54">
        <f t="shared" si="2"/>
        <v>3.6739626530544465</v>
      </c>
      <c r="L44" s="42">
        <f t="shared" si="9"/>
        <v>5.31</v>
      </c>
      <c r="M44" s="575">
        <f>M$46</f>
        <v>7750</v>
      </c>
      <c r="N44" s="569">
        <f t="shared" si="3"/>
        <v>3.6739626530544474</v>
      </c>
      <c r="O44" s="565"/>
      <c r="P44" s="571">
        <v>0</v>
      </c>
      <c r="Q44" s="565"/>
      <c r="R44" s="571">
        <v>0</v>
      </c>
      <c r="S44" s="565"/>
      <c r="T44" s="571">
        <v>0</v>
      </c>
      <c r="U44" s="565"/>
      <c r="V44" s="571">
        <v>0</v>
      </c>
      <c r="W44" s="565"/>
      <c r="X44" s="571">
        <v>0</v>
      </c>
      <c r="Y44" s="565"/>
      <c r="Z44" s="571">
        <v>0</v>
      </c>
      <c r="AA44" s="565"/>
      <c r="AB44" s="571">
        <v>0</v>
      </c>
      <c r="AC44" s="568">
        <v>20</v>
      </c>
      <c r="AD44" s="569">
        <f t="shared" si="4"/>
        <v>0.009481193943366314</v>
      </c>
      <c r="AE44" s="576">
        <f t="shared" si="6"/>
        <v>7770</v>
      </c>
    </row>
    <row r="45" spans="2:31" ht="9.75" customHeight="1">
      <c r="B45" s="22"/>
      <c r="C45" s="568">
        <v>27</v>
      </c>
      <c r="D45" s="568">
        <v>67</v>
      </c>
      <c r="E45" s="51">
        <v>0.0011</v>
      </c>
      <c r="F45" s="54">
        <f t="shared" si="0"/>
        <v>10.266478701597023</v>
      </c>
      <c r="G45" s="102">
        <v>5.31</v>
      </c>
      <c r="H45" s="568">
        <v>1973</v>
      </c>
      <c r="I45" s="576">
        <v>7750</v>
      </c>
      <c r="J45" s="50">
        <f t="shared" si="1"/>
        <v>3.0637150860836173</v>
      </c>
      <c r="K45" s="54">
        <f t="shared" si="2"/>
        <v>3.6739626530544465</v>
      </c>
      <c r="L45" s="42">
        <f t="shared" si="9"/>
        <v>5.31</v>
      </c>
      <c r="M45" s="575">
        <f>M$46</f>
        <v>7750</v>
      </c>
      <c r="N45" s="569">
        <f t="shared" si="3"/>
        <v>3.6739626530544474</v>
      </c>
      <c r="O45" s="565"/>
      <c r="P45" s="571">
        <v>0</v>
      </c>
      <c r="Q45" s="565"/>
      <c r="R45" s="571">
        <v>0</v>
      </c>
      <c r="S45" s="565"/>
      <c r="T45" s="571">
        <v>0</v>
      </c>
      <c r="U45" s="565"/>
      <c r="V45" s="571">
        <v>0</v>
      </c>
      <c r="W45" s="565"/>
      <c r="X45" s="571">
        <v>0</v>
      </c>
      <c r="Y45" s="565"/>
      <c r="Z45" s="571">
        <v>0</v>
      </c>
      <c r="AA45" s="565"/>
      <c r="AB45" s="571">
        <v>0</v>
      </c>
      <c r="AC45" s="568">
        <v>20</v>
      </c>
      <c r="AD45" s="569">
        <f t="shared" si="4"/>
        <v>0.009481193943366314</v>
      </c>
      <c r="AE45" s="576">
        <f t="shared" si="6"/>
        <v>7770</v>
      </c>
    </row>
    <row r="46" spans="2:31" ht="9.75" customHeight="1">
      <c r="B46" s="22" t="s">
        <v>370</v>
      </c>
      <c r="C46" s="568">
        <v>30</v>
      </c>
      <c r="D46" s="568">
        <v>257</v>
      </c>
      <c r="E46" s="51">
        <v>0.0009</v>
      </c>
      <c r="F46" s="54">
        <f t="shared" si="0"/>
        <v>12.298903600250084</v>
      </c>
      <c r="G46" s="102">
        <v>5.31</v>
      </c>
      <c r="H46" s="568">
        <v>1973</v>
      </c>
      <c r="I46" s="576">
        <v>7750</v>
      </c>
      <c r="J46" s="50">
        <f t="shared" si="1"/>
        <v>3.0637150860836173</v>
      </c>
      <c r="K46" s="54">
        <f t="shared" si="2"/>
        <v>3.6739626530544465</v>
      </c>
      <c r="L46" s="42">
        <f t="shared" si="9"/>
        <v>5.31</v>
      </c>
      <c r="M46" s="575">
        <v>7750</v>
      </c>
      <c r="N46" s="569">
        <f t="shared" si="3"/>
        <v>3.6739626530544474</v>
      </c>
      <c r="O46" s="565"/>
      <c r="P46" s="571">
        <v>0</v>
      </c>
      <c r="Q46" s="565"/>
      <c r="R46" s="571">
        <v>0</v>
      </c>
      <c r="S46" s="565"/>
      <c r="T46" s="571">
        <v>0</v>
      </c>
      <c r="U46" s="565"/>
      <c r="V46" s="571">
        <v>0</v>
      </c>
      <c r="W46" s="565"/>
      <c r="X46" s="571">
        <v>0</v>
      </c>
      <c r="Y46" s="565"/>
      <c r="Z46" s="571">
        <v>0</v>
      </c>
      <c r="AA46" s="565"/>
      <c r="AB46" s="571">
        <v>0</v>
      </c>
      <c r="AC46" s="568">
        <v>20</v>
      </c>
      <c r="AD46" s="569">
        <f t="shared" si="4"/>
        <v>0.009481193943366314</v>
      </c>
      <c r="AE46" s="576">
        <f t="shared" si="6"/>
        <v>7770</v>
      </c>
    </row>
    <row r="47" spans="2:31" ht="9.75" customHeight="1">
      <c r="B47" s="22"/>
      <c r="C47" s="568">
        <v>27</v>
      </c>
      <c r="D47" s="568">
        <v>50</v>
      </c>
      <c r="E47" s="51">
        <v>0.0009</v>
      </c>
      <c r="F47" s="54">
        <f t="shared" si="0"/>
        <v>9.286379392192472</v>
      </c>
      <c r="G47" s="102">
        <v>6.26</v>
      </c>
      <c r="H47" s="568">
        <v>1973</v>
      </c>
      <c r="I47" s="576">
        <v>7750</v>
      </c>
      <c r="J47" s="50">
        <f t="shared" si="1"/>
        <v>3.0637150860836173</v>
      </c>
      <c r="K47" s="54">
        <f t="shared" si="2"/>
        <v>3.6739626530544465</v>
      </c>
      <c r="L47" s="42">
        <f t="shared" si="9"/>
        <v>6.26</v>
      </c>
      <c r="M47" s="575">
        <v>7750</v>
      </c>
      <c r="N47" s="569">
        <f t="shared" si="3"/>
        <v>3.6739626530544474</v>
      </c>
      <c r="O47" s="565"/>
      <c r="P47" s="571">
        <v>0</v>
      </c>
      <c r="Q47" s="565"/>
      <c r="R47" s="571">
        <v>0</v>
      </c>
      <c r="S47" s="565"/>
      <c r="T47" s="571">
        <v>0</v>
      </c>
      <c r="U47" s="565"/>
      <c r="V47" s="571">
        <v>0</v>
      </c>
      <c r="W47" s="565"/>
      <c r="X47" s="571">
        <v>0</v>
      </c>
      <c r="Y47" s="565"/>
      <c r="Z47" s="571">
        <v>0</v>
      </c>
      <c r="AA47" s="565"/>
      <c r="AB47" s="571">
        <v>0</v>
      </c>
      <c r="AC47" s="568">
        <v>20</v>
      </c>
      <c r="AD47" s="569">
        <f t="shared" si="4"/>
        <v>0.009481193943366314</v>
      </c>
      <c r="AE47" s="576">
        <f t="shared" si="6"/>
        <v>7770</v>
      </c>
    </row>
    <row r="48" spans="2:31" ht="9.75" customHeight="1">
      <c r="B48" s="22" t="s">
        <v>487</v>
      </c>
      <c r="C48" s="568">
        <v>27</v>
      </c>
      <c r="D48" s="568">
        <v>304</v>
      </c>
      <c r="E48" s="51">
        <v>0.0009</v>
      </c>
      <c r="F48" s="54">
        <f t="shared" si="0"/>
        <v>9.286379392192472</v>
      </c>
      <c r="G48" s="102">
        <v>6.26</v>
      </c>
      <c r="H48" s="568">
        <v>1973</v>
      </c>
      <c r="I48" s="576">
        <v>7750</v>
      </c>
      <c r="J48" s="50">
        <f t="shared" si="1"/>
        <v>3.0637150860836173</v>
      </c>
      <c r="K48" s="54">
        <f t="shared" si="2"/>
        <v>3.6739626530544465</v>
      </c>
      <c r="L48" s="42">
        <f t="shared" si="9"/>
        <v>6.26</v>
      </c>
      <c r="M48" s="575">
        <v>7750</v>
      </c>
      <c r="N48" s="569">
        <f t="shared" si="3"/>
        <v>3.6739626530544474</v>
      </c>
      <c r="O48" s="565"/>
      <c r="P48" s="571">
        <v>0</v>
      </c>
      <c r="Q48" s="565"/>
      <c r="R48" s="571">
        <v>0</v>
      </c>
      <c r="S48" s="565"/>
      <c r="T48" s="571">
        <v>0</v>
      </c>
      <c r="U48" s="565"/>
      <c r="V48" s="571">
        <v>0</v>
      </c>
      <c r="W48" s="565"/>
      <c r="X48" s="571">
        <v>0</v>
      </c>
      <c r="Y48" s="565"/>
      <c r="Z48" s="571">
        <v>0</v>
      </c>
      <c r="AA48" s="565"/>
      <c r="AB48" s="571">
        <v>0</v>
      </c>
      <c r="AC48" s="568">
        <v>20</v>
      </c>
      <c r="AD48" s="569">
        <f t="shared" si="4"/>
        <v>0.009481193943366314</v>
      </c>
      <c r="AE48" s="576">
        <f t="shared" si="6"/>
        <v>7770</v>
      </c>
    </row>
    <row r="49" spans="1:31" ht="9.75" customHeight="1">
      <c r="A49" s="22"/>
      <c r="B49" s="22"/>
      <c r="C49" s="568">
        <v>27</v>
      </c>
      <c r="D49" s="568">
        <v>293</v>
      </c>
      <c r="E49" s="51">
        <v>0.0009</v>
      </c>
      <c r="F49" s="54">
        <f t="shared" si="0"/>
        <v>9.286379392192472</v>
      </c>
      <c r="G49" s="102">
        <v>6.26</v>
      </c>
      <c r="H49" s="568">
        <v>1973</v>
      </c>
      <c r="I49" s="576">
        <v>7750</v>
      </c>
      <c r="J49" s="50">
        <f t="shared" si="1"/>
        <v>3.0637150860836173</v>
      </c>
      <c r="K49" s="54">
        <f t="shared" si="2"/>
        <v>3.6739626530544465</v>
      </c>
      <c r="L49" s="42">
        <f t="shared" si="9"/>
        <v>6.26</v>
      </c>
      <c r="M49" s="575">
        <v>7750</v>
      </c>
      <c r="N49" s="569">
        <f t="shared" si="3"/>
        <v>3.6739626530544474</v>
      </c>
      <c r="O49" s="565"/>
      <c r="P49" s="571">
        <v>0</v>
      </c>
      <c r="Q49" s="565"/>
      <c r="R49" s="571">
        <v>0</v>
      </c>
      <c r="S49" s="565"/>
      <c r="T49" s="571">
        <v>0</v>
      </c>
      <c r="U49" s="565"/>
      <c r="V49" s="571">
        <v>0</v>
      </c>
      <c r="W49" s="565"/>
      <c r="X49" s="571">
        <v>0</v>
      </c>
      <c r="Y49" s="565"/>
      <c r="Z49" s="571">
        <v>0</v>
      </c>
      <c r="AA49" s="565"/>
      <c r="AB49" s="571">
        <v>0</v>
      </c>
      <c r="AC49" s="568">
        <v>20</v>
      </c>
      <c r="AD49" s="569">
        <f t="shared" si="4"/>
        <v>0.009481193943366314</v>
      </c>
      <c r="AE49" s="576">
        <f t="shared" si="6"/>
        <v>7770</v>
      </c>
    </row>
    <row r="50" spans="1:31" ht="9.75" customHeight="1">
      <c r="A50" s="22"/>
      <c r="B50" s="22"/>
      <c r="C50" s="568">
        <v>27</v>
      </c>
      <c r="D50" s="568">
        <v>296</v>
      </c>
      <c r="E50" s="51">
        <v>0.0009</v>
      </c>
      <c r="F50" s="54">
        <f t="shared" si="0"/>
        <v>9.286379392192472</v>
      </c>
      <c r="G50" s="102">
        <v>6.26</v>
      </c>
      <c r="H50" s="568">
        <v>1973</v>
      </c>
      <c r="I50" s="576">
        <v>7750</v>
      </c>
      <c r="J50" s="50">
        <f t="shared" si="1"/>
        <v>3.0637150860836173</v>
      </c>
      <c r="K50" s="54">
        <f t="shared" si="2"/>
        <v>3.6739626530544465</v>
      </c>
      <c r="L50" s="42">
        <f t="shared" si="9"/>
        <v>6.26</v>
      </c>
      <c r="M50" s="575">
        <v>7750</v>
      </c>
      <c r="N50" s="569">
        <f t="shared" si="3"/>
        <v>3.6739626530544474</v>
      </c>
      <c r="O50" s="565"/>
      <c r="P50" s="571">
        <v>0</v>
      </c>
      <c r="Q50" s="565"/>
      <c r="R50" s="571">
        <v>0</v>
      </c>
      <c r="S50" s="565"/>
      <c r="T50" s="571">
        <v>0</v>
      </c>
      <c r="U50" s="565"/>
      <c r="V50" s="571">
        <v>0</v>
      </c>
      <c r="W50" s="565"/>
      <c r="X50" s="571">
        <v>0</v>
      </c>
      <c r="Y50" s="565"/>
      <c r="Z50" s="571">
        <v>0</v>
      </c>
      <c r="AA50" s="565"/>
      <c r="AB50" s="571">
        <v>0</v>
      </c>
      <c r="AC50" s="568">
        <v>20</v>
      </c>
      <c r="AD50" s="569">
        <f t="shared" si="4"/>
        <v>0.009481193943366314</v>
      </c>
      <c r="AE50" s="576">
        <f t="shared" si="6"/>
        <v>7770</v>
      </c>
    </row>
    <row r="51" spans="1:31" ht="9.75" customHeight="1">
      <c r="A51" s="22"/>
      <c r="B51" s="22"/>
      <c r="C51" s="568">
        <v>27</v>
      </c>
      <c r="D51" s="568">
        <v>23</v>
      </c>
      <c r="E51" s="51">
        <v>0.0009</v>
      </c>
      <c r="F51" s="54">
        <f t="shared" si="0"/>
        <v>9.286379392192472</v>
      </c>
      <c r="G51" s="102">
        <v>6.26</v>
      </c>
      <c r="H51" s="568">
        <v>1973</v>
      </c>
      <c r="I51" s="576">
        <v>7750</v>
      </c>
      <c r="J51" s="50">
        <f t="shared" si="1"/>
        <v>3.0637150860836173</v>
      </c>
      <c r="K51" s="54">
        <f t="shared" si="2"/>
        <v>3.6739626530544465</v>
      </c>
      <c r="L51" s="42">
        <f t="shared" si="9"/>
        <v>6.26</v>
      </c>
      <c r="M51" s="575">
        <v>7750</v>
      </c>
      <c r="N51" s="569">
        <f t="shared" si="3"/>
        <v>3.6739626530544474</v>
      </c>
      <c r="O51" s="565"/>
      <c r="P51" s="571">
        <v>0</v>
      </c>
      <c r="Q51" s="565"/>
      <c r="R51" s="571">
        <v>0</v>
      </c>
      <c r="S51" s="565"/>
      <c r="T51" s="571">
        <v>0</v>
      </c>
      <c r="U51" s="565"/>
      <c r="V51" s="571">
        <v>0</v>
      </c>
      <c r="W51" s="565"/>
      <c r="X51" s="571">
        <v>0</v>
      </c>
      <c r="Y51" s="565"/>
      <c r="Z51" s="571">
        <v>0</v>
      </c>
      <c r="AA51" s="565"/>
      <c r="AB51" s="571">
        <v>0</v>
      </c>
      <c r="AC51" s="568">
        <v>20</v>
      </c>
      <c r="AD51" s="569">
        <f t="shared" si="4"/>
        <v>0.009481193943366314</v>
      </c>
      <c r="AE51" s="576">
        <f t="shared" si="6"/>
        <v>7770</v>
      </c>
    </row>
    <row r="52" spans="1:31" ht="9.75" customHeight="1">
      <c r="A52" s="22"/>
      <c r="B52" s="22"/>
      <c r="C52" s="568">
        <v>27</v>
      </c>
      <c r="D52" s="568">
        <v>33</v>
      </c>
      <c r="E52" s="51">
        <v>0.0009</v>
      </c>
      <c r="F52" s="54">
        <f t="shared" si="0"/>
        <v>9.286379392192472</v>
      </c>
      <c r="G52" s="102">
        <v>6.26</v>
      </c>
      <c r="H52" s="568">
        <v>1966</v>
      </c>
      <c r="I52" s="576">
        <v>7750</v>
      </c>
      <c r="J52" s="50">
        <f t="shared" si="1"/>
        <v>3.0637150860836173</v>
      </c>
      <c r="K52" s="54">
        <f t="shared" si="2"/>
        <v>3.6739626530544465</v>
      </c>
      <c r="L52" s="42">
        <f t="shared" si="9"/>
        <v>6.26</v>
      </c>
      <c r="M52" s="575">
        <v>7750</v>
      </c>
      <c r="N52" s="569">
        <f t="shared" si="3"/>
        <v>3.6739626530544474</v>
      </c>
      <c r="O52" s="565"/>
      <c r="P52" s="571">
        <v>0</v>
      </c>
      <c r="Q52" s="565"/>
      <c r="R52" s="571">
        <v>0</v>
      </c>
      <c r="S52" s="565"/>
      <c r="T52" s="571">
        <v>0</v>
      </c>
      <c r="U52" s="565"/>
      <c r="V52" s="571">
        <v>0</v>
      </c>
      <c r="W52" s="565"/>
      <c r="X52" s="571">
        <v>0</v>
      </c>
      <c r="Y52" s="565"/>
      <c r="Z52" s="571">
        <v>0</v>
      </c>
      <c r="AA52" s="565"/>
      <c r="AB52" s="571">
        <v>0</v>
      </c>
      <c r="AC52" s="568">
        <v>20</v>
      </c>
      <c r="AD52" s="569">
        <f t="shared" si="4"/>
        <v>0.009481193943366314</v>
      </c>
      <c r="AE52" s="576">
        <f t="shared" si="6"/>
        <v>7770</v>
      </c>
    </row>
    <row r="53" spans="1:31" ht="9.75" customHeight="1">
      <c r="A53" s="70" t="s">
        <v>356</v>
      </c>
      <c r="B53" s="70" t="s">
        <v>352</v>
      </c>
      <c r="C53" s="43">
        <v>27</v>
      </c>
      <c r="D53" s="43">
        <v>36</v>
      </c>
      <c r="E53" s="52">
        <v>0.0014</v>
      </c>
      <c r="F53" s="61">
        <f t="shared" si="0"/>
        <v>11.582150016394092</v>
      </c>
      <c r="G53" s="103">
        <v>6.28</v>
      </c>
      <c r="H53" s="43">
        <v>1966</v>
      </c>
      <c r="I53" s="55">
        <v>7750</v>
      </c>
      <c r="J53" s="58">
        <f t="shared" si="1"/>
        <v>3.0637150860836173</v>
      </c>
      <c r="K53" s="61">
        <f t="shared" si="2"/>
        <v>3.6739626530544465</v>
      </c>
      <c r="L53" s="46">
        <f t="shared" si="9"/>
        <v>6.28</v>
      </c>
      <c r="M53" s="101">
        <v>7750</v>
      </c>
      <c r="N53" s="67">
        <f t="shared" si="3"/>
        <v>3.6739626530544474</v>
      </c>
      <c r="O53" s="135"/>
      <c r="P53" s="71">
        <v>0</v>
      </c>
      <c r="Q53" s="135"/>
      <c r="R53" s="71">
        <v>0</v>
      </c>
      <c r="S53" s="135"/>
      <c r="T53" s="71">
        <v>0</v>
      </c>
      <c r="U53" s="135"/>
      <c r="V53" s="71">
        <v>0</v>
      </c>
      <c r="W53" s="135"/>
      <c r="X53" s="71">
        <v>0</v>
      </c>
      <c r="Y53" s="135"/>
      <c r="Z53" s="71">
        <v>0</v>
      </c>
      <c r="AA53" s="135"/>
      <c r="AB53" s="71">
        <v>0</v>
      </c>
      <c r="AC53" s="43">
        <v>20</v>
      </c>
      <c r="AD53" s="67">
        <f t="shared" si="4"/>
        <v>0.009481193943366314</v>
      </c>
      <c r="AE53" s="55">
        <f t="shared" si="6"/>
        <v>7770</v>
      </c>
    </row>
    <row r="68" spans="3:31" s="589" customFormat="1" ht="12.75">
      <c r="C68" s="629"/>
      <c r="D68" s="629"/>
      <c r="E68" s="630"/>
      <c r="F68" s="629"/>
      <c r="G68" s="631"/>
      <c r="H68" s="629"/>
      <c r="I68" s="632"/>
      <c r="J68" s="629"/>
      <c r="K68" s="629"/>
      <c r="L68" s="629"/>
      <c r="M68" s="632"/>
      <c r="N68" s="629"/>
      <c r="O68" s="629"/>
      <c r="P68" s="633"/>
      <c r="Q68" s="629"/>
      <c r="R68" s="629"/>
      <c r="S68" s="629"/>
      <c r="T68" s="629"/>
      <c r="U68" s="629"/>
      <c r="V68" s="629"/>
      <c r="W68" s="629"/>
      <c r="X68" s="629"/>
      <c r="Y68" s="629"/>
      <c r="Z68" s="629"/>
      <c r="AA68" s="629"/>
      <c r="AB68" s="629"/>
      <c r="AC68" s="629"/>
      <c r="AD68" s="629"/>
      <c r="AE68" s="629"/>
    </row>
  </sheetData>
  <sheetProtection/>
  <mergeCells count="13">
    <mergeCell ref="M7:N7"/>
    <mergeCell ref="AC7:AD7"/>
    <mergeCell ref="O7:P7"/>
    <mergeCell ref="Q7:R7"/>
    <mergeCell ref="S7:T7"/>
    <mergeCell ref="U7:V7"/>
    <mergeCell ref="W7:X7"/>
    <mergeCell ref="Y7:Z7"/>
    <mergeCell ref="AA7:AB7"/>
    <mergeCell ref="U1:AB1"/>
    <mergeCell ref="AC1:AE1"/>
    <mergeCell ref="U2:AB2"/>
    <mergeCell ref="AC2:AE2"/>
  </mergeCells>
  <printOptions/>
  <pageMargins left="0.47" right="0.35" top="0.34" bottom="0.75" header="0.3" footer="0.3"/>
  <pageSetup fitToHeight="1" fitToWidth="1" horizontalDpi="600" verticalDpi="600" orientation="landscape" scale="81" r:id="rId1"/>
  <headerFooter alignWithMargins="0">
    <oddFooter>&amp;L&amp;8Revised:                             6/1/2012
App. by OSG Tech. Comm.  &amp;CPage 11 of 13 Pages
</oddFooter>
  </headerFooter>
  <rowBreaks count="1" manualBreakCount="1">
    <brk id="81" max="255" man="1"/>
  </rowBreaks>
  <colBreaks count="1" manualBreakCount="1">
    <brk id="8" max="65535" man="1"/>
  </colBreaks>
</worksheet>
</file>

<file path=xl/worksheets/sheet19.xml><?xml version="1.0" encoding="utf-8"?>
<worksheet xmlns="http://schemas.openxmlformats.org/spreadsheetml/2006/main" xmlns:r="http://schemas.openxmlformats.org/officeDocument/2006/relationships">
  <sheetPr>
    <pageSetUpPr fitToPage="1"/>
  </sheetPr>
  <dimension ref="A1:AF68"/>
  <sheetViews>
    <sheetView view="pageLayout" zoomScale="0" zoomScaleNormal="90" zoomScaleSheetLayoutView="100" zoomScalePageLayoutView="0" workbookViewId="0" topLeftCell="A1">
      <selection activeCell="G28" sqref="G28"/>
      <selection activeCell="A1" sqref="A1"/>
    </sheetView>
  </sheetViews>
  <sheetFormatPr defaultColWidth="4.7109375" defaultRowHeight="12.75"/>
  <cols>
    <col min="1" max="1" width="7.00390625" style="0" customWidth="1"/>
    <col min="2" max="2" width="6.421875" style="0" customWidth="1"/>
    <col min="3" max="3" width="4.7109375" style="0" customWidth="1"/>
    <col min="4" max="4" width="4.140625" style="0" customWidth="1"/>
    <col min="5" max="5" width="4.00390625" style="244" customWidth="1"/>
    <col min="6" max="6" width="5.28125" style="0" customWidth="1"/>
    <col min="7" max="7" width="5.140625" style="223" customWidth="1"/>
    <col min="8" max="8" width="4.421875" style="0" customWidth="1"/>
    <col min="9" max="9" width="6.00390625" style="220" customWidth="1"/>
    <col min="10" max="10" width="4.57421875" style="0" customWidth="1"/>
    <col min="11" max="11" width="5.421875" style="0" customWidth="1"/>
    <col min="12" max="12" width="4.00390625" style="0" customWidth="1"/>
    <col min="13" max="13" width="4.7109375" style="220" customWidth="1"/>
    <col min="14" max="14" width="4.7109375" style="239" customWidth="1"/>
    <col min="15" max="15" width="4.7109375" style="0" customWidth="1"/>
    <col min="16" max="16" width="4.7109375" style="239" customWidth="1"/>
    <col min="17" max="31" width="4.7109375" style="0" customWidth="1"/>
  </cols>
  <sheetData>
    <row r="1" spans="1:31" ht="14.25" customHeight="1">
      <c r="A1" s="88" t="s">
        <v>172</v>
      </c>
      <c r="B1" s="88"/>
      <c r="C1" s="88"/>
      <c r="U1" s="88"/>
      <c r="V1" s="88"/>
      <c r="W1" s="88"/>
      <c r="X1" s="88"/>
      <c r="Y1" s="88"/>
      <c r="Z1" s="88"/>
      <c r="AA1" s="88"/>
      <c r="AB1" s="88"/>
      <c r="AC1" s="551"/>
      <c r="AD1" s="551"/>
      <c r="AE1" s="551"/>
    </row>
    <row r="2" spans="1:31" ht="14.25" customHeight="1">
      <c r="A2" s="88" t="s">
        <v>1</v>
      </c>
      <c r="B2" s="88"/>
      <c r="C2" s="88"/>
      <c r="AC2" s="551"/>
      <c r="AD2" s="551"/>
      <c r="AE2" s="551"/>
    </row>
    <row r="3" spans="1:3" ht="14.25" customHeight="1">
      <c r="A3" s="88" t="s">
        <v>2</v>
      </c>
      <c r="B3" s="88"/>
      <c r="C3" s="88"/>
    </row>
    <row r="4" spans="1:3" ht="14.25" customHeight="1">
      <c r="A4" s="88" t="s">
        <v>173</v>
      </c>
      <c r="B4" s="88"/>
      <c r="C4" s="88"/>
    </row>
    <row r="5" ht="12.75">
      <c r="A5" s="22" t="s">
        <v>376</v>
      </c>
    </row>
    <row r="6" spans="2:31" ht="9.75" customHeight="1">
      <c r="B6" s="22"/>
      <c r="C6" s="22"/>
      <c r="D6" s="669"/>
      <c r="E6" s="669"/>
      <c r="F6" s="585"/>
      <c r="G6" s="585"/>
      <c r="H6" s="669"/>
      <c r="I6" s="669"/>
      <c r="J6" s="564"/>
      <c r="K6" s="267"/>
      <c r="L6" s="267"/>
      <c r="M6" s="622"/>
      <c r="N6" s="623"/>
      <c r="O6" s="267"/>
      <c r="P6" s="623"/>
      <c r="Q6" s="267"/>
      <c r="R6" s="267"/>
      <c r="S6" s="267"/>
      <c r="T6" s="267"/>
      <c r="U6" s="267"/>
      <c r="V6" s="267"/>
      <c r="W6" s="267"/>
      <c r="X6" s="267"/>
      <c r="Y6" s="267"/>
      <c r="Z6" s="267"/>
      <c r="AA6" s="267"/>
      <c r="AB6" s="267"/>
      <c r="AC6" s="267"/>
      <c r="AD6" s="267"/>
      <c r="AE6" s="267"/>
    </row>
    <row r="7" spans="1:32" ht="9.75" customHeight="1">
      <c r="A7" s="673" t="s">
        <v>179</v>
      </c>
      <c r="B7" s="673"/>
      <c r="C7" s="568"/>
      <c r="D7" s="568"/>
      <c r="E7" s="51"/>
      <c r="F7" s="41"/>
      <c r="G7" s="50" t="s">
        <v>44</v>
      </c>
      <c r="H7" s="568"/>
      <c r="I7" s="576" t="s">
        <v>175</v>
      </c>
      <c r="J7" s="568"/>
      <c r="K7" s="568" t="s">
        <v>203</v>
      </c>
      <c r="L7" s="42" t="s">
        <v>176</v>
      </c>
      <c r="M7" s="586" t="s">
        <v>44</v>
      </c>
      <c r="N7" s="586"/>
      <c r="O7" s="584" t="s">
        <v>66</v>
      </c>
      <c r="P7" s="584"/>
      <c r="Q7" s="670" t="s">
        <v>375</v>
      </c>
      <c r="R7" s="671"/>
      <c r="S7" s="670" t="s">
        <v>51</v>
      </c>
      <c r="T7" s="671"/>
      <c r="U7" s="670" t="s">
        <v>178</v>
      </c>
      <c r="V7" s="671"/>
      <c r="W7" s="670" t="s">
        <v>68</v>
      </c>
      <c r="X7" s="671"/>
      <c r="Y7" s="670" t="s">
        <v>65</v>
      </c>
      <c r="Z7" s="671"/>
      <c r="AA7" s="670" t="s">
        <v>139</v>
      </c>
      <c r="AB7" s="671"/>
      <c r="AC7" s="670" t="s">
        <v>208</v>
      </c>
      <c r="AD7" s="671"/>
      <c r="AE7" s="568" t="s">
        <v>7</v>
      </c>
      <c r="AF7" s="568"/>
    </row>
    <row r="8" spans="1:32" ht="9.75" customHeight="1" thickBot="1">
      <c r="A8" s="78" t="s">
        <v>214</v>
      </c>
      <c r="B8" s="78" t="s">
        <v>215</v>
      </c>
      <c r="C8" s="78" t="s">
        <v>180</v>
      </c>
      <c r="D8" s="78" t="s">
        <v>181</v>
      </c>
      <c r="E8" s="79" t="s">
        <v>182</v>
      </c>
      <c r="F8" s="80" t="s">
        <v>183</v>
      </c>
      <c r="G8" s="83" t="s">
        <v>204</v>
      </c>
      <c r="H8" s="78" t="s">
        <v>212</v>
      </c>
      <c r="I8" s="82" t="s">
        <v>184</v>
      </c>
      <c r="J8" s="78" t="s">
        <v>185</v>
      </c>
      <c r="K8" s="78" t="s">
        <v>204</v>
      </c>
      <c r="L8" s="85" t="s">
        <v>199</v>
      </c>
      <c r="M8" s="414" t="s">
        <v>187</v>
      </c>
      <c r="N8" s="415" t="s">
        <v>200</v>
      </c>
      <c r="O8" s="183" t="s">
        <v>187</v>
      </c>
      <c r="P8" s="185" t="s">
        <v>200</v>
      </c>
      <c r="Q8" s="172" t="s">
        <v>186</v>
      </c>
      <c r="R8" s="186" t="s">
        <v>187</v>
      </c>
      <c r="S8" s="172" t="s">
        <v>186</v>
      </c>
      <c r="T8" s="186" t="s">
        <v>187</v>
      </c>
      <c r="U8" s="172" t="s">
        <v>186</v>
      </c>
      <c r="V8" s="186" t="s">
        <v>187</v>
      </c>
      <c r="W8" s="172" t="s">
        <v>186</v>
      </c>
      <c r="X8" s="186" t="s">
        <v>187</v>
      </c>
      <c r="Y8" s="172" t="s">
        <v>186</v>
      </c>
      <c r="Z8" s="186" t="s">
        <v>187</v>
      </c>
      <c r="AA8" s="172" t="s">
        <v>186</v>
      </c>
      <c r="AB8" s="186" t="s">
        <v>187</v>
      </c>
      <c r="AC8" s="172" t="s">
        <v>186</v>
      </c>
      <c r="AD8" s="186" t="s">
        <v>187</v>
      </c>
      <c r="AE8" s="78" t="s">
        <v>187</v>
      </c>
      <c r="AF8" s="568"/>
    </row>
    <row r="9" spans="1:32" ht="9.75" customHeight="1" thickTop="1">
      <c r="A9" s="568" t="s">
        <v>501</v>
      </c>
      <c r="B9" s="568" t="s">
        <v>377</v>
      </c>
      <c r="C9" s="568" t="s">
        <v>189</v>
      </c>
      <c r="D9" s="568" t="s">
        <v>315</v>
      </c>
      <c r="E9" s="51" t="s">
        <v>202</v>
      </c>
      <c r="F9" s="41" t="s">
        <v>191</v>
      </c>
      <c r="G9" s="50" t="s">
        <v>191</v>
      </c>
      <c r="H9" s="568" t="s">
        <v>192</v>
      </c>
      <c r="I9" s="576" t="s">
        <v>193</v>
      </c>
      <c r="J9" s="568" t="s">
        <v>194</v>
      </c>
      <c r="K9" s="568" t="s">
        <v>191</v>
      </c>
      <c r="L9" s="42" t="s">
        <v>191</v>
      </c>
      <c r="M9" s="576"/>
      <c r="N9" s="569" t="s">
        <v>191</v>
      </c>
      <c r="O9" s="565"/>
      <c r="P9" s="571" t="s">
        <v>191</v>
      </c>
      <c r="Q9" s="565"/>
      <c r="R9" s="571" t="s">
        <v>191</v>
      </c>
      <c r="S9" s="565"/>
      <c r="T9" s="571" t="s">
        <v>191</v>
      </c>
      <c r="U9" s="565"/>
      <c r="V9" s="571" t="s">
        <v>191</v>
      </c>
      <c r="W9" s="565"/>
      <c r="X9" s="571" t="s">
        <v>191</v>
      </c>
      <c r="Y9" s="565"/>
      <c r="Z9" s="571" t="s">
        <v>191</v>
      </c>
      <c r="AA9" s="565"/>
      <c r="AB9" s="571" t="s">
        <v>191</v>
      </c>
      <c r="AC9" s="565"/>
      <c r="AD9" s="571" t="s">
        <v>191</v>
      </c>
      <c r="AE9" s="568"/>
      <c r="AF9" s="568"/>
    </row>
    <row r="10" spans="1:32" ht="9.75" customHeight="1">
      <c r="A10" s="568"/>
      <c r="B10" s="568"/>
      <c r="C10" s="568">
        <v>15</v>
      </c>
      <c r="D10" s="568">
        <v>394</v>
      </c>
      <c r="E10" s="51">
        <v>0.0025</v>
      </c>
      <c r="F10" s="54">
        <f aca="true" t="shared" si="0" ref="F10:F35">(1.486/0.013)*((3.14*($C10*$C10)/4)/144)*SQRT($E10)*POWER($C10/12/4,2/3)</f>
        <v>3.228259903454776</v>
      </c>
      <c r="G10" s="50">
        <v>2.5</v>
      </c>
      <c r="H10" s="568">
        <v>1978</v>
      </c>
      <c r="I10" s="576">
        <v>3055</v>
      </c>
      <c r="J10" s="50">
        <f aca="true" t="shared" si="1" ref="J10:J35">(18+SQRT(I10/1000))/(4+SQRT(I10/1000))</f>
        <v>3.4356908760040206</v>
      </c>
      <c r="K10" s="50">
        <f aca="true" t="shared" si="2" ref="K10:K35">I10:I10*100*J10/(7.48*24*60*60)</f>
        <v>1.6240894895945182</v>
      </c>
      <c r="L10" s="107">
        <f>G10</f>
        <v>2.5</v>
      </c>
      <c r="M10" s="576">
        <v>280</v>
      </c>
      <c r="N10" s="569">
        <f aca="true" t="shared" si="3" ref="N10:N35">J10*100*M10/(7.48*24*60*60)</f>
        <v>0.14885271917723897</v>
      </c>
      <c r="O10" s="565"/>
      <c r="P10" s="571">
        <v>0</v>
      </c>
      <c r="Q10" s="565"/>
      <c r="R10" s="571">
        <v>0</v>
      </c>
      <c r="S10" s="565"/>
      <c r="T10" s="571">
        <v>0</v>
      </c>
      <c r="U10" s="568"/>
      <c r="V10" s="571">
        <v>0</v>
      </c>
      <c r="W10" s="568"/>
      <c r="X10" s="571">
        <v>0</v>
      </c>
      <c r="Y10" s="568"/>
      <c r="Z10" s="571">
        <v>0</v>
      </c>
      <c r="AA10" s="568">
        <v>660</v>
      </c>
      <c r="AB10" s="571">
        <f aca="true" t="shared" si="4" ref="AB10:AD35">$J10*100*AA10/(7.48*24*60*60)</f>
        <v>0.35086712377492035</v>
      </c>
      <c r="AC10" s="568">
        <v>2115</v>
      </c>
      <c r="AD10" s="571">
        <f t="shared" si="4"/>
        <v>1.1243696466423585</v>
      </c>
      <c r="AE10" s="576">
        <f aca="true" t="shared" si="5" ref="AE10:AE35">AC10+AA10+Y10+W10+U10+S10+Q10+O10+M10</f>
        <v>3055</v>
      </c>
      <c r="AF10" s="568"/>
    </row>
    <row r="11" spans="1:32" ht="9.75" customHeight="1">
      <c r="A11" s="568"/>
      <c r="B11" s="568"/>
      <c r="C11" s="568">
        <v>15</v>
      </c>
      <c r="D11" s="568">
        <v>394</v>
      </c>
      <c r="E11" s="51">
        <v>0.0025</v>
      </c>
      <c r="F11" s="54">
        <f t="shared" si="0"/>
        <v>3.228259903454776</v>
      </c>
      <c r="G11" s="50">
        <v>2.5</v>
      </c>
      <c r="H11" s="568">
        <v>1978</v>
      </c>
      <c r="I11" s="576">
        <v>3055</v>
      </c>
      <c r="J11" s="50">
        <f t="shared" si="1"/>
        <v>3.4356908760040206</v>
      </c>
      <c r="K11" s="50">
        <f t="shared" si="2"/>
        <v>1.6240894895945182</v>
      </c>
      <c r="L11" s="107">
        <f aca="true" t="shared" si="6" ref="L11:L17">G11</f>
        <v>2.5</v>
      </c>
      <c r="M11" s="576">
        <v>280</v>
      </c>
      <c r="N11" s="569">
        <f t="shared" si="3"/>
        <v>0.14885271917723897</v>
      </c>
      <c r="O11" s="565"/>
      <c r="P11" s="571">
        <v>0</v>
      </c>
      <c r="Q11" s="565"/>
      <c r="R11" s="571">
        <v>0</v>
      </c>
      <c r="S11" s="565"/>
      <c r="T11" s="571">
        <v>0</v>
      </c>
      <c r="U11" s="568"/>
      <c r="V11" s="571">
        <v>0</v>
      </c>
      <c r="W11" s="568"/>
      <c r="X11" s="571">
        <v>0</v>
      </c>
      <c r="Y11" s="568"/>
      <c r="Z11" s="571">
        <v>0</v>
      </c>
      <c r="AA11" s="568">
        <v>660</v>
      </c>
      <c r="AB11" s="571">
        <f t="shared" si="4"/>
        <v>0.35086712377492035</v>
      </c>
      <c r="AC11" s="568">
        <v>2115</v>
      </c>
      <c r="AD11" s="571">
        <f t="shared" si="4"/>
        <v>1.1243696466423585</v>
      </c>
      <c r="AE11" s="576">
        <f t="shared" si="5"/>
        <v>3055</v>
      </c>
      <c r="AF11" s="568"/>
    </row>
    <row r="12" spans="1:32" ht="9.75" customHeight="1">
      <c r="A12" s="568"/>
      <c r="B12" s="568"/>
      <c r="C12" s="568">
        <v>15</v>
      </c>
      <c r="D12" s="568">
        <v>394</v>
      </c>
      <c r="E12" s="51">
        <v>0.0025</v>
      </c>
      <c r="F12" s="54">
        <f t="shared" si="0"/>
        <v>3.228259903454776</v>
      </c>
      <c r="G12" s="50">
        <v>2.5</v>
      </c>
      <c r="H12" s="568">
        <v>1978</v>
      </c>
      <c r="I12" s="576">
        <v>3055</v>
      </c>
      <c r="J12" s="50">
        <f t="shared" si="1"/>
        <v>3.4356908760040206</v>
      </c>
      <c r="K12" s="50">
        <f t="shared" si="2"/>
        <v>1.6240894895945182</v>
      </c>
      <c r="L12" s="107">
        <f t="shared" si="6"/>
        <v>2.5</v>
      </c>
      <c r="M12" s="576">
        <v>280</v>
      </c>
      <c r="N12" s="569">
        <f t="shared" si="3"/>
        <v>0.14885271917723897</v>
      </c>
      <c r="O12" s="565"/>
      <c r="P12" s="571">
        <v>0</v>
      </c>
      <c r="Q12" s="565"/>
      <c r="R12" s="571">
        <v>0</v>
      </c>
      <c r="S12" s="565"/>
      <c r="T12" s="571">
        <v>0</v>
      </c>
      <c r="U12" s="568"/>
      <c r="V12" s="571">
        <v>0</v>
      </c>
      <c r="W12" s="568"/>
      <c r="X12" s="571">
        <v>0</v>
      </c>
      <c r="Y12" s="568"/>
      <c r="Z12" s="571">
        <v>0</v>
      </c>
      <c r="AA12" s="568">
        <v>660</v>
      </c>
      <c r="AB12" s="571">
        <f t="shared" si="4"/>
        <v>0.35086712377492035</v>
      </c>
      <c r="AC12" s="568">
        <v>2115</v>
      </c>
      <c r="AD12" s="571">
        <f t="shared" si="4"/>
        <v>1.1243696466423585</v>
      </c>
      <c r="AE12" s="576">
        <f t="shared" si="5"/>
        <v>3055</v>
      </c>
      <c r="AF12" s="568"/>
    </row>
    <row r="13" spans="1:32" ht="9.75" customHeight="1">
      <c r="A13" s="568"/>
      <c r="B13" s="568"/>
      <c r="C13" s="568">
        <v>15</v>
      </c>
      <c r="D13" s="568">
        <v>394</v>
      </c>
      <c r="E13" s="51">
        <v>0.0025</v>
      </c>
      <c r="F13" s="54">
        <f t="shared" si="0"/>
        <v>3.228259903454776</v>
      </c>
      <c r="G13" s="50">
        <v>2.5</v>
      </c>
      <c r="H13" s="568">
        <v>1978</v>
      </c>
      <c r="I13" s="576">
        <v>3055</v>
      </c>
      <c r="J13" s="50">
        <f t="shared" si="1"/>
        <v>3.4356908760040206</v>
      </c>
      <c r="K13" s="50">
        <f t="shared" si="2"/>
        <v>1.6240894895945182</v>
      </c>
      <c r="L13" s="107">
        <f t="shared" si="6"/>
        <v>2.5</v>
      </c>
      <c r="M13" s="576">
        <v>280</v>
      </c>
      <c r="N13" s="569">
        <f t="shared" si="3"/>
        <v>0.14885271917723897</v>
      </c>
      <c r="O13" s="565"/>
      <c r="P13" s="571">
        <v>0</v>
      </c>
      <c r="Q13" s="565"/>
      <c r="R13" s="571">
        <v>0</v>
      </c>
      <c r="S13" s="565"/>
      <c r="T13" s="571">
        <v>0</v>
      </c>
      <c r="U13" s="568"/>
      <c r="V13" s="571">
        <v>0</v>
      </c>
      <c r="W13" s="568"/>
      <c r="X13" s="571">
        <v>0</v>
      </c>
      <c r="Y13" s="568"/>
      <c r="Z13" s="571">
        <v>0</v>
      </c>
      <c r="AA13" s="568">
        <v>660</v>
      </c>
      <c r="AB13" s="571">
        <f t="shared" si="4"/>
        <v>0.35086712377492035</v>
      </c>
      <c r="AC13" s="568">
        <v>2115</v>
      </c>
      <c r="AD13" s="571">
        <f t="shared" si="4"/>
        <v>1.1243696466423585</v>
      </c>
      <c r="AE13" s="576">
        <f t="shared" si="5"/>
        <v>3055</v>
      </c>
      <c r="AF13" s="568"/>
    </row>
    <row r="14" spans="1:32" ht="9.75" customHeight="1">
      <c r="A14" s="568"/>
      <c r="B14" s="568"/>
      <c r="C14" s="568">
        <v>15</v>
      </c>
      <c r="D14" s="568">
        <v>100</v>
      </c>
      <c r="E14" s="51">
        <v>0.0025</v>
      </c>
      <c r="F14" s="54">
        <f t="shared" si="0"/>
        <v>3.228259903454776</v>
      </c>
      <c r="G14" s="50">
        <v>2.5</v>
      </c>
      <c r="H14" s="568">
        <v>1978</v>
      </c>
      <c r="I14" s="576">
        <v>4361</v>
      </c>
      <c r="J14" s="50">
        <f t="shared" si="1"/>
        <v>3.299492187924603</v>
      </c>
      <c r="K14" s="50">
        <f t="shared" si="2"/>
        <v>2.2264751422836193</v>
      </c>
      <c r="L14" s="102">
        <f t="shared" si="6"/>
        <v>2.5</v>
      </c>
      <c r="M14" s="575">
        <f>M$19</f>
        <v>1586</v>
      </c>
      <c r="N14" s="569">
        <f t="shared" si="3"/>
        <v>0.8097201503466683</v>
      </c>
      <c r="O14" s="565"/>
      <c r="P14" s="569">
        <v>0</v>
      </c>
      <c r="Q14" s="173"/>
      <c r="R14" s="571">
        <v>0</v>
      </c>
      <c r="S14" s="565"/>
      <c r="T14" s="571">
        <v>0</v>
      </c>
      <c r="U14" s="568"/>
      <c r="V14" s="571">
        <v>0</v>
      </c>
      <c r="W14" s="568"/>
      <c r="X14" s="571">
        <v>0</v>
      </c>
      <c r="Y14" s="568"/>
      <c r="Z14" s="571">
        <v>0</v>
      </c>
      <c r="AA14" s="568">
        <v>660</v>
      </c>
      <c r="AB14" s="571">
        <f t="shared" si="4"/>
        <v>0.33695794402824786</v>
      </c>
      <c r="AC14" s="568">
        <v>2115</v>
      </c>
      <c r="AD14" s="571">
        <f t="shared" si="4"/>
        <v>1.0797970479087033</v>
      </c>
      <c r="AE14" s="576">
        <f t="shared" si="5"/>
        <v>4361</v>
      </c>
      <c r="AF14" s="568"/>
    </row>
    <row r="15" spans="1:32" ht="9.75" customHeight="1">
      <c r="A15" s="568"/>
      <c r="B15" s="568"/>
      <c r="C15" s="568">
        <v>18</v>
      </c>
      <c r="D15" s="568">
        <v>320</v>
      </c>
      <c r="E15" s="51">
        <v>0.0011</v>
      </c>
      <c r="F15" s="54">
        <f t="shared" si="0"/>
        <v>3.482128708322533</v>
      </c>
      <c r="G15" s="50">
        <v>3.14</v>
      </c>
      <c r="H15" s="568">
        <v>1978</v>
      </c>
      <c r="I15" s="576">
        <v>4361</v>
      </c>
      <c r="J15" s="50">
        <f t="shared" si="1"/>
        <v>3.299492187924603</v>
      </c>
      <c r="K15" s="50">
        <f t="shared" si="2"/>
        <v>2.2264751422836193</v>
      </c>
      <c r="L15" s="102">
        <f t="shared" si="6"/>
        <v>3.14</v>
      </c>
      <c r="M15" s="575">
        <f>M$19</f>
        <v>1586</v>
      </c>
      <c r="N15" s="569">
        <f t="shared" si="3"/>
        <v>0.8097201503466683</v>
      </c>
      <c r="O15" s="565"/>
      <c r="P15" s="569">
        <v>0</v>
      </c>
      <c r="Q15" s="173"/>
      <c r="R15" s="571">
        <v>0</v>
      </c>
      <c r="S15" s="565"/>
      <c r="T15" s="571">
        <v>0</v>
      </c>
      <c r="U15" s="568"/>
      <c r="V15" s="571">
        <v>0</v>
      </c>
      <c r="W15" s="568"/>
      <c r="X15" s="571">
        <v>0</v>
      </c>
      <c r="Y15" s="568"/>
      <c r="Z15" s="571">
        <v>0</v>
      </c>
      <c r="AA15" s="568">
        <v>660</v>
      </c>
      <c r="AB15" s="571">
        <f t="shared" si="4"/>
        <v>0.33695794402824786</v>
      </c>
      <c r="AC15" s="568">
        <v>2115</v>
      </c>
      <c r="AD15" s="571">
        <f t="shared" si="4"/>
        <v>1.0797970479087033</v>
      </c>
      <c r="AE15" s="576">
        <f t="shared" si="5"/>
        <v>4361</v>
      </c>
      <c r="AF15" s="568"/>
    </row>
    <row r="16" spans="1:32" ht="9.75" customHeight="1">
      <c r="A16" s="568"/>
      <c r="B16" s="568"/>
      <c r="C16" s="568">
        <v>18</v>
      </c>
      <c r="D16" s="568">
        <v>318</v>
      </c>
      <c r="E16" s="51">
        <v>0.0011</v>
      </c>
      <c r="F16" s="54">
        <f t="shared" si="0"/>
        <v>3.482128708322533</v>
      </c>
      <c r="G16" s="50">
        <v>3.14</v>
      </c>
      <c r="H16" s="568">
        <v>1978</v>
      </c>
      <c r="I16" s="576">
        <v>4361</v>
      </c>
      <c r="J16" s="50">
        <f t="shared" si="1"/>
        <v>3.299492187924603</v>
      </c>
      <c r="K16" s="50">
        <f t="shared" si="2"/>
        <v>2.2264751422836193</v>
      </c>
      <c r="L16" s="102">
        <f t="shared" si="6"/>
        <v>3.14</v>
      </c>
      <c r="M16" s="575">
        <f>M$19</f>
        <v>1586</v>
      </c>
      <c r="N16" s="569">
        <f t="shared" si="3"/>
        <v>0.8097201503466683</v>
      </c>
      <c r="O16" s="565"/>
      <c r="P16" s="569">
        <v>0</v>
      </c>
      <c r="Q16" s="173"/>
      <c r="R16" s="571">
        <v>0</v>
      </c>
      <c r="S16" s="565"/>
      <c r="T16" s="571">
        <v>0</v>
      </c>
      <c r="U16" s="568"/>
      <c r="V16" s="571">
        <v>0</v>
      </c>
      <c r="W16" s="568"/>
      <c r="X16" s="571">
        <v>0</v>
      </c>
      <c r="Y16" s="568"/>
      <c r="Z16" s="571">
        <v>0</v>
      </c>
      <c r="AA16" s="568">
        <v>660</v>
      </c>
      <c r="AB16" s="571">
        <f t="shared" si="4"/>
        <v>0.33695794402824786</v>
      </c>
      <c r="AC16" s="568">
        <v>2115</v>
      </c>
      <c r="AD16" s="571">
        <f t="shared" si="4"/>
        <v>1.0797970479087033</v>
      </c>
      <c r="AE16" s="576">
        <f t="shared" si="5"/>
        <v>4361</v>
      </c>
      <c r="AF16" s="568"/>
    </row>
    <row r="17" spans="1:32" ht="9.75" customHeight="1">
      <c r="A17" s="568"/>
      <c r="B17" s="568"/>
      <c r="C17" s="568">
        <v>18</v>
      </c>
      <c r="D17" s="568">
        <v>226</v>
      </c>
      <c r="E17" s="51">
        <v>0.0011</v>
      </c>
      <c r="F17" s="54">
        <f t="shared" si="0"/>
        <v>3.482128708322533</v>
      </c>
      <c r="G17" s="50">
        <v>3.14</v>
      </c>
      <c r="H17" s="568">
        <v>1978</v>
      </c>
      <c r="I17" s="576">
        <v>4361</v>
      </c>
      <c r="J17" s="50">
        <f t="shared" si="1"/>
        <v>3.299492187924603</v>
      </c>
      <c r="K17" s="50">
        <f t="shared" si="2"/>
        <v>2.2264751422836193</v>
      </c>
      <c r="L17" s="102">
        <f t="shared" si="6"/>
        <v>3.14</v>
      </c>
      <c r="M17" s="575">
        <f>M$19</f>
        <v>1586</v>
      </c>
      <c r="N17" s="569">
        <f t="shared" si="3"/>
        <v>0.8097201503466683</v>
      </c>
      <c r="O17" s="565"/>
      <c r="P17" s="569">
        <v>0</v>
      </c>
      <c r="Q17" s="173"/>
      <c r="R17" s="571">
        <v>0</v>
      </c>
      <c r="S17" s="565"/>
      <c r="T17" s="571">
        <v>0</v>
      </c>
      <c r="U17" s="568"/>
      <c r="V17" s="571">
        <v>0</v>
      </c>
      <c r="W17" s="568"/>
      <c r="X17" s="571">
        <v>0</v>
      </c>
      <c r="Y17" s="568"/>
      <c r="Z17" s="571">
        <v>0</v>
      </c>
      <c r="AA17" s="568">
        <v>660</v>
      </c>
      <c r="AB17" s="571">
        <f t="shared" si="4"/>
        <v>0.33695794402824786</v>
      </c>
      <c r="AC17" s="568">
        <v>2115</v>
      </c>
      <c r="AD17" s="571">
        <f t="shared" si="4"/>
        <v>1.0797970479087033</v>
      </c>
      <c r="AE17" s="576">
        <f t="shared" si="5"/>
        <v>4361</v>
      </c>
      <c r="AF17" s="568"/>
    </row>
    <row r="18" spans="1:32" ht="9.75" customHeight="1">
      <c r="A18" s="568"/>
      <c r="B18" s="568"/>
      <c r="C18" s="568"/>
      <c r="D18" s="568"/>
      <c r="E18" s="51"/>
      <c r="F18" s="54"/>
      <c r="G18" s="50"/>
      <c r="H18" s="568"/>
      <c r="I18" s="576"/>
      <c r="J18" s="50"/>
      <c r="K18" s="50"/>
      <c r="L18" s="567"/>
      <c r="M18" s="575"/>
      <c r="N18" s="569"/>
      <c r="O18" s="565"/>
      <c r="P18" s="569"/>
      <c r="Q18" s="173"/>
      <c r="R18" s="571"/>
      <c r="S18" s="565"/>
      <c r="T18" s="571"/>
      <c r="U18" s="568"/>
      <c r="V18" s="571"/>
      <c r="W18" s="568"/>
      <c r="X18" s="571"/>
      <c r="Y18" s="568"/>
      <c r="Z18" s="571"/>
      <c r="AA18" s="568"/>
      <c r="AB18" s="571"/>
      <c r="AC18" s="568"/>
      <c r="AD18" s="571"/>
      <c r="AE18" s="576"/>
      <c r="AF18" s="568"/>
    </row>
    <row r="19" spans="1:32" ht="9.75" customHeight="1">
      <c r="A19" s="568" t="s">
        <v>160</v>
      </c>
      <c r="B19" s="568" t="s">
        <v>328</v>
      </c>
      <c r="C19" s="568">
        <v>18</v>
      </c>
      <c r="D19" s="568">
        <v>426</v>
      </c>
      <c r="E19" s="51">
        <v>0.0019</v>
      </c>
      <c r="F19" s="54">
        <f t="shared" si="0"/>
        <v>4.576413705920976</v>
      </c>
      <c r="G19" s="50">
        <v>4.45</v>
      </c>
      <c r="H19" s="568">
        <v>1978</v>
      </c>
      <c r="I19" s="576">
        <v>4673</v>
      </c>
      <c r="J19" s="50">
        <f t="shared" si="1"/>
        <v>3.272095702313309</v>
      </c>
      <c r="K19" s="50">
        <f t="shared" si="2"/>
        <v>2.3659547708875044</v>
      </c>
      <c r="L19" s="107">
        <f>G19</f>
        <v>4.45</v>
      </c>
      <c r="M19" s="576">
        <v>1586</v>
      </c>
      <c r="N19" s="569">
        <f t="shared" si="3"/>
        <v>0.8029968471276658</v>
      </c>
      <c r="O19" s="565"/>
      <c r="P19" s="571">
        <v>0</v>
      </c>
      <c r="Q19" s="565"/>
      <c r="R19" s="571">
        <v>0</v>
      </c>
      <c r="S19" s="565"/>
      <c r="T19" s="571">
        <v>0</v>
      </c>
      <c r="U19" s="568"/>
      <c r="V19" s="571">
        <v>0</v>
      </c>
      <c r="W19" s="568"/>
      <c r="X19" s="571">
        <v>0</v>
      </c>
      <c r="Y19" s="568"/>
      <c r="Z19" s="571">
        <v>0</v>
      </c>
      <c r="AA19" s="568">
        <v>972</v>
      </c>
      <c r="AB19" s="571">
        <f t="shared" si="4"/>
        <v>0.4921266931955177</v>
      </c>
      <c r="AC19" s="568">
        <v>2115</v>
      </c>
      <c r="AD19" s="571">
        <f t="shared" si="4"/>
        <v>1.070831230564321</v>
      </c>
      <c r="AE19" s="576">
        <f t="shared" si="5"/>
        <v>4673</v>
      </c>
      <c r="AF19" s="568"/>
    </row>
    <row r="20" spans="1:32" ht="9.75" customHeight="1">
      <c r="A20" s="568"/>
      <c r="B20" s="568"/>
      <c r="C20" s="568">
        <v>18</v>
      </c>
      <c r="D20" s="568">
        <v>299</v>
      </c>
      <c r="E20" s="51">
        <v>0.0019</v>
      </c>
      <c r="F20" s="54">
        <f t="shared" si="0"/>
        <v>4.576413705920976</v>
      </c>
      <c r="G20" s="50">
        <v>4.45</v>
      </c>
      <c r="H20" s="568">
        <v>1978</v>
      </c>
      <c r="I20" s="576">
        <v>4673</v>
      </c>
      <c r="J20" s="50">
        <f t="shared" si="1"/>
        <v>3.272095702313309</v>
      </c>
      <c r="K20" s="50">
        <f t="shared" si="2"/>
        <v>2.3659547708875044</v>
      </c>
      <c r="L20" s="107">
        <f>G20</f>
        <v>4.45</v>
      </c>
      <c r="M20" s="576">
        <v>1586</v>
      </c>
      <c r="N20" s="569">
        <f t="shared" si="3"/>
        <v>0.8029968471276658</v>
      </c>
      <c r="O20" s="565"/>
      <c r="P20" s="571">
        <v>0</v>
      </c>
      <c r="Q20" s="565"/>
      <c r="R20" s="571">
        <v>0</v>
      </c>
      <c r="S20" s="182"/>
      <c r="T20" s="571">
        <v>0</v>
      </c>
      <c r="U20" s="568"/>
      <c r="V20" s="571">
        <v>0</v>
      </c>
      <c r="W20" s="568"/>
      <c r="X20" s="571">
        <v>0</v>
      </c>
      <c r="Y20" s="568"/>
      <c r="Z20" s="571">
        <v>0</v>
      </c>
      <c r="AA20" s="568">
        <v>972</v>
      </c>
      <c r="AB20" s="571">
        <f t="shared" si="4"/>
        <v>0.4921266931955177</v>
      </c>
      <c r="AC20" s="568">
        <v>2115</v>
      </c>
      <c r="AD20" s="571">
        <f t="shared" si="4"/>
        <v>1.070831230564321</v>
      </c>
      <c r="AE20" s="576">
        <f t="shared" si="5"/>
        <v>4673</v>
      </c>
      <c r="AF20" s="568"/>
    </row>
    <row r="21" spans="1:32" ht="9.75" customHeight="1">
      <c r="A21" s="568"/>
      <c r="B21" s="568" t="s">
        <v>378</v>
      </c>
      <c r="C21" s="568">
        <v>12</v>
      </c>
      <c r="D21" s="568">
        <v>330</v>
      </c>
      <c r="E21" s="51">
        <v>0.0131</v>
      </c>
      <c r="F21" s="54">
        <f t="shared" si="0"/>
        <v>4.075749032599264</v>
      </c>
      <c r="G21" s="50">
        <v>4.08</v>
      </c>
      <c r="H21" s="568">
        <v>1972</v>
      </c>
      <c r="I21" s="576">
        <v>4673</v>
      </c>
      <c r="J21" s="50">
        <f t="shared" si="1"/>
        <v>3.272095702313309</v>
      </c>
      <c r="K21" s="50">
        <f t="shared" si="2"/>
        <v>2.3659547708875044</v>
      </c>
      <c r="L21" s="107">
        <f>G21</f>
        <v>4.08</v>
      </c>
      <c r="M21" s="576">
        <v>1586</v>
      </c>
      <c r="N21" s="569">
        <f t="shared" si="3"/>
        <v>0.8029968471276658</v>
      </c>
      <c r="O21" s="565"/>
      <c r="P21" s="571">
        <v>0</v>
      </c>
      <c r="Q21" s="565"/>
      <c r="R21" s="571">
        <v>0</v>
      </c>
      <c r="S21" s="182"/>
      <c r="T21" s="571">
        <v>0</v>
      </c>
      <c r="U21" s="568"/>
      <c r="V21" s="571">
        <v>0</v>
      </c>
      <c r="W21" s="568"/>
      <c r="X21" s="571">
        <v>0</v>
      </c>
      <c r="Y21" s="568"/>
      <c r="Z21" s="571">
        <v>0</v>
      </c>
      <c r="AA21" s="568">
        <v>972</v>
      </c>
      <c r="AB21" s="571">
        <f t="shared" si="4"/>
        <v>0.4921266931955177</v>
      </c>
      <c r="AC21" s="568">
        <v>2115</v>
      </c>
      <c r="AD21" s="571">
        <f t="shared" si="4"/>
        <v>1.070831230564321</v>
      </c>
      <c r="AE21" s="576">
        <f t="shared" si="5"/>
        <v>4673</v>
      </c>
      <c r="AF21" s="568"/>
    </row>
    <row r="22" spans="1:32" ht="9.75" customHeight="1">
      <c r="A22" s="568"/>
      <c r="B22" s="568" t="s">
        <v>379</v>
      </c>
      <c r="C22" s="568">
        <v>10</v>
      </c>
      <c r="D22" s="568">
        <v>400</v>
      </c>
      <c r="E22" s="51">
        <v>0.0031</v>
      </c>
      <c r="F22" s="54">
        <f t="shared" si="0"/>
        <v>1.2192777363010674</v>
      </c>
      <c r="G22" s="50">
        <v>1.01</v>
      </c>
      <c r="H22" s="568">
        <v>1972</v>
      </c>
      <c r="I22" s="576">
        <v>4673</v>
      </c>
      <c r="J22" s="50">
        <f t="shared" si="1"/>
        <v>3.272095702313309</v>
      </c>
      <c r="K22" s="50">
        <f t="shared" si="2"/>
        <v>2.3659547708875044</v>
      </c>
      <c r="L22" s="107">
        <f>K22</f>
        <v>2.3659547708875044</v>
      </c>
      <c r="M22" s="576">
        <v>1587</v>
      </c>
      <c r="N22" s="569">
        <f aca="true" t="shared" si="7" ref="N22:N27">J22*100*M22/(7.48*24*60*60)</f>
        <v>0.8035031503099658</v>
      </c>
      <c r="O22" s="565"/>
      <c r="P22" s="571">
        <v>0</v>
      </c>
      <c r="Q22" s="565"/>
      <c r="R22" s="571">
        <v>0</v>
      </c>
      <c r="S22" s="565"/>
      <c r="T22" s="571">
        <v>0</v>
      </c>
      <c r="U22" s="568"/>
      <c r="V22" s="571">
        <v>0</v>
      </c>
      <c r="W22" s="568"/>
      <c r="X22" s="571">
        <v>0</v>
      </c>
      <c r="Y22" s="568"/>
      <c r="Z22" s="571">
        <v>0</v>
      </c>
      <c r="AA22" s="568">
        <v>972</v>
      </c>
      <c r="AB22" s="571">
        <f t="shared" si="4"/>
        <v>0.4921266931955177</v>
      </c>
      <c r="AC22" s="568">
        <v>2115</v>
      </c>
      <c r="AD22" s="571">
        <f t="shared" si="4"/>
        <v>1.070831230564321</v>
      </c>
      <c r="AE22" s="576">
        <f t="shared" si="5"/>
        <v>4674</v>
      </c>
      <c r="AF22" s="568"/>
    </row>
    <row r="23" spans="1:32" ht="9.75" customHeight="1">
      <c r="A23" s="568"/>
      <c r="B23" s="568"/>
      <c r="C23" s="568">
        <v>10</v>
      </c>
      <c r="D23" s="568">
        <v>408</v>
      </c>
      <c r="E23" s="51">
        <v>0.0028</v>
      </c>
      <c r="F23" s="54">
        <f t="shared" si="0"/>
        <v>1.1587795241143175</v>
      </c>
      <c r="G23" s="50">
        <v>1.01</v>
      </c>
      <c r="H23" s="568">
        <v>1972</v>
      </c>
      <c r="I23" s="576">
        <v>4673</v>
      </c>
      <c r="J23" s="50">
        <f t="shared" si="1"/>
        <v>3.272095702313309</v>
      </c>
      <c r="K23" s="50">
        <f t="shared" si="2"/>
        <v>2.3659547708875044</v>
      </c>
      <c r="L23" s="107">
        <f aca="true" t="shared" si="8" ref="L23:L35">K23</f>
        <v>2.3659547708875044</v>
      </c>
      <c r="M23" s="576">
        <v>1588</v>
      </c>
      <c r="N23" s="569">
        <f t="shared" si="7"/>
        <v>0.8040094534922657</v>
      </c>
      <c r="O23" s="565"/>
      <c r="P23" s="571">
        <v>0</v>
      </c>
      <c r="Q23" s="565"/>
      <c r="R23" s="571">
        <v>0</v>
      </c>
      <c r="S23" s="565"/>
      <c r="T23" s="571">
        <v>0</v>
      </c>
      <c r="U23" s="568"/>
      <c r="V23" s="571">
        <v>0</v>
      </c>
      <c r="W23" s="568"/>
      <c r="X23" s="571">
        <v>0</v>
      </c>
      <c r="Y23" s="568"/>
      <c r="Z23" s="571">
        <v>0</v>
      </c>
      <c r="AA23" s="568">
        <v>972</v>
      </c>
      <c r="AB23" s="571">
        <f t="shared" si="4"/>
        <v>0.4921266931955177</v>
      </c>
      <c r="AC23" s="568">
        <v>2115</v>
      </c>
      <c r="AD23" s="571">
        <f t="shared" si="4"/>
        <v>1.070831230564321</v>
      </c>
      <c r="AE23" s="576">
        <f t="shared" si="5"/>
        <v>4675</v>
      </c>
      <c r="AF23" s="568"/>
    </row>
    <row r="24" spans="1:32" ht="9.75" customHeight="1">
      <c r="A24" s="568"/>
      <c r="B24" s="568"/>
      <c r="C24" s="568">
        <v>10</v>
      </c>
      <c r="D24" s="568">
        <v>96</v>
      </c>
      <c r="E24" s="51">
        <v>0.0028</v>
      </c>
      <c r="F24" s="54">
        <f t="shared" si="0"/>
        <v>1.1587795241143175</v>
      </c>
      <c r="G24" s="50">
        <v>1.01</v>
      </c>
      <c r="H24" s="568">
        <v>1967</v>
      </c>
      <c r="I24" s="576">
        <v>4673</v>
      </c>
      <c r="J24" s="50">
        <f t="shared" si="1"/>
        <v>3.272095702313309</v>
      </c>
      <c r="K24" s="50">
        <f t="shared" si="2"/>
        <v>2.3659547708875044</v>
      </c>
      <c r="L24" s="107">
        <f t="shared" si="8"/>
        <v>2.3659547708875044</v>
      </c>
      <c r="M24" s="576">
        <v>1589</v>
      </c>
      <c r="N24" s="569">
        <f t="shared" si="7"/>
        <v>0.8045157566745655</v>
      </c>
      <c r="O24" s="565"/>
      <c r="P24" s="571">
        <v>0</v>
      </c>
      <c r="Q24" s="565"/>
      <c r="R24" s="571">
        <v>0</v>
      </c>
      <c r="S24" s="565"/>
      <c r="T24" s="571">
        <v>0</v>
      </c>
      <c r="U24" s="568"/>
      <c r="V24" s="571">
        <v>0</v>
      </c>
      <c r="W24" s="568"/>
      <c r="X24" s="571">
        <v>0</v>
      </c>
      <c r="Y24" s="568"/>
      <c r="Z24" s="571">
        <v>0</v>
      </c>
      <c r="AA24" s="568">
        <v>972</v>
      </c>
      <c r="AB24" s="571">
        <f t="shared" si="4"/>
        <v>0.4921266931955177</v>
      </c>
      <c r="AC24" s="568">
        <v>2115</v>
      </c>
      <c r="AD24" s="571">
        <f t="shared" si="4"/>
        <v>1.070831230564321</v>
      </c>
      <c r="AE24" s="576">
        <f t="shared" si="5"/>
        <v>4676</v>
      </c>
      <c r="AF24" s="568"/>
    </row>
    <row r="25" spans="1:32" ht="9.75" customHeight="1">
      <c r="A25" s="568"/>
      <c r="B25" s="568" t="s">
        <v>380</v>
      </c>
      <c r="C25" s="568">
        <v>10</v>
      </c>
      <c r="D25" s="568">
        <v>153</v>
      </c>
      <c r="E25" s="51">
        <v>0.0028</v>
      </c>
      <c r="F25" s="54">
        <f t="shared" si="0"/>
        <v>1.1587795241143175</v>
      </c>
      <c r="G25" s="50">
        <v>1.01</v>
      </c>
      <c r="H25" s="568">
        <v>1967</v>
      </c>
      <c r="I25" s="576">
        <v>4673</v>
      </c>
      <c r="J25" s="50">
        <f t="shared" si="1"/>
        <v>3.272095702313309</v>
      </c>
      <c r="K25" s="50">
        <f t="shared" si="2"/>
        <v>2.3659547708875044</v>
      </c>
      <c r="L25" s="107">
        <f t="shared" si="8"/>
        <v>2.3659547708875044</v>
      </c>
      <c r="M25" s="576">
        <v>1590</v>
      </c>
      <c r="N25" s="569">
        <f t="shared" si="7"/>
        <v>0.8050220598568655</v>
      </c>
      <c r="O25" s="565"/>
      <c r="P25" s="571">
        <v>0</v>
      </c>
      <c r="Q25" s="565"/>
      <c r="R25" s="571">
        <v>0</v>
      </c>
      <c r="S25" s="565"/>
      <c r="T25" s="571">
        <v>0</v>
      </c>
      <c r="U25" s="568"/>
      <c r="V25" s="571">
        <v>0</v>
      </c>
      <c r="W25" s="568"/>
      <c r="X25" s="571">
        <v>0</v>
      </c>
      <c r="Y25" s="568"/>
      <c r="Z25" s="571">
        <v>0</v>
      </c>
      <c r="AA25" s="568">
        <v>972</v>
      </c>
      <c r="AB25" s="571">
        <f t="shared" si="4"/>
        <v>0.4921266931955177</v>
      </c>
      <c r="AC25" s="568">
        <v>2115</v>
      </c>
      <c r="AD25" s="571">
        <f t="shared" si="4"/>
        <v>1.070831230564321</v>
      </c>
      <c r="AE25" s="576">
        <f t="shared" si="5"/>
        <v>4677</v>
      </c>
      <c r="AF25" s="568"/>
    </row>
    <row r="26" spans="1:32" ht="9.75" customHeight="1">
      <c r="A26" s="568"/>
      <c r="B26" s="568"/>
      <c r="C26" s="568">
        <v>10</v>
      </c>
      <c r="D26" s="568">
        <v>45</v>
      </c>
      <c r="E26" s="51">
        <v>0.0028</v>
      </c>
      <c r="F26" s="54">
        <f t="shared" si="0"/>
        <v>1.1587795241143175</v>
      </c>
      <c r="G26" s="50">
        <v>1.01</v>
      </c>
      <c r="H26" s="568">
        <v>1967</v>
      </c>
      <c r="I26" s="576">
        <v>4673</v>
      </c>
      <c r="J26" s="50">
        <f t="shared" si="1"/>
        <v>3.272095702313309</v>
      </c>
      <c r="K26" s="50">
        <f t="shared" si="2"/>
        <v>2.3659547708875044</v>
      </c>
      <c r="L26" s="107">
        <f t="shared" si="8"/>
        <v>2.3659547708875044</v>
      </c>
      <c r="M26" s="576">
        <v>1591</v>
      </c>
      <c r="N26" s="569">
        <f t="shared" si="7"/>
        <v>0.8055283630391654</v>
      </c>
      <c r="O26" s="565"/>
      <c r="P26" s="571">
        <v>0</v>
      </c>
      <c r="Q26" s="565"/>
      <c r="R26" s="571">
        <v>0</v>
      </c>
      <c r="S26" s="565"/>
      <c r="T26" s="571">
        <v>0</v>
      </c>
      <c r="U26" s="568"/>
      <c r="V26" s="571">
        <v>0</v>
      </c>
      <c r="W26" s="568"/>
      <c r="X26" s="571">
        <v>0</v>
      </c>
      <c r="Y26" s="568"/>
      <c r="Z26" s="571">
        <v>0</v>
      </c>
      <c r="AA26" s="568">
        <v>972</v>
      </c>
      <c r="AB26" s="571">
        <f t="shared" si="4"/>
        <v>0.4921266931955177</v>
      </c>
      <c r="AC26" s="568">
        <v>2115</v>
      </c>
      <c r="AD26" s="571">
        <f t="shared" si="4"/>
        <v>1.070831230564321</v>
      </c>
      <c r="AE26" s="576">
        <f t="shared" si="5"/>
        <v>4678</v>
      </c>
      <c r="AF26" s="568"/>
    </row>
    <row r="27" spans="1:32" ht="9.75" customHeight="1">
      <c r="A27" s="568"/>
      <c r="B27" s="568"/>
      <c r="C27" s="568">
        <v>10</v>
      </c>
      <c r="D27" s="568">
        <v>400</v>
      </c>
      <c r="E27" s="51">
        <v>0.0028</v>
      </c>
      <c r="F27" s="54">
        <f t="shared" si="0"/>
        <v>1.1587795241143175</v>
      </c>
      <c r="G27" s="50">
        <v>1.01</v>
      </c>
      <c r="H27" s="568">
        <v>1965</v>
      </c>
      <c r="I27" s="576">
        <v>4673</v>
      </c>
      <c r="J27" s="50">
        <f t="shared" si="1"/>
        <v>3.272095702313309</v>
      </c>
      <c r="K27" s="50">
        <f t="shared" si="2"/>
        <v>2.3659547708875044</v>
      </c>
      <c r="L27" s="107">
        <f t="shared" si="8"/>
        <v>2.3659547708875044</v>
      </c>
      <c r="M27" s="576">
        <v>1592</v>
      </c>
      <c r="N27" s="569">
        <f t="shared" si="7"/>
        <v>0.8060346662214654</v>
      </c>
      <c r="O27" s="565"/>
      <c r="P27" s="571">
        <v>0</v>
      </c>
      <c r="Q27" s="565"/>
      <c r="R27" s="571">
        <v>0</v>
      </c>
      <c r="S27" s="182"/>
      <c r="T27" s="571">
        <v>0</v>
      </c>
      <c r="U27" s="568"/>
      <c r="V27" s="571">
        <v>0</v>
      </c>
      <c r="W27" s="568"/>
      <c r="X27" s="571">
        <v>0</v>
      </c>
      <c r="Y27" s="568"/>
      <c r="Z27" s="571">
        <v>0</v>
      </c>
      <c r="AA27" s="568">
        <v>972</v>
      </c>
      <c r="AB27" s="571">
        <f t="shared" si="4"/>
        <v>0.4921266931955177</v>
      </c>
      <c r="AC27" s="568">
        <v>2115</v>
      </c>
      <c r="AD27" s="571">
        <f t="shared" si="4"/>
        <v>1.070831230564321</v>
      </c>
      <c r="AE27" s="576">
        <f t="shared" si="5"/>
        <v>4679</v>
      </c>
      <c r="AF27" s="568"/>
    </row>
    <row r="28" spans="1:32" ht="9.75" customHeight="1">
      <c r="A28" s="568"/>
      <c r="B28" s="568"/>
      <c r="C28" s="568"/>
      <c r="D28" s="568"/>
      <c r="E28" s="51"/>
      <c r="F28" s="54"/>
      <c r="G28" s="50"/>
      <c r="H28" s="568"/>
      <c r="I28" s="576"/>
      <c r="J28" s="50"/>
      <c r="K28" s="50"/>
      <c r="L28" s="42"/>
      <c r="M28" s="576"/>
      <c r="N28" s="569"/>
      <c r="O28" s="565"/>
      <c r="P28" s="571"/>
      <c r="Q28" s="565"/>
      <c r="R28" s="571"/>
      <c r="S28" s="182"/>
      <c r="T28" s="571"/>
      <c r="U28" s="568"/>
      <c r="V28" s="571"/>
      <c r="W28" s="568"/>
      <c r="X28" s="571"/>
      <c r="Y28" s="568"/>
      <c r="Z28" s="571"/>
      <c r="AA28" s="568"/>
      <c r="AB28" s="571"/>
      <c r="AC28" s="568"/>
      <c r="AD28" s="571"/>
      <c r="AE28" s="576"/>
      <c r="AF28" s="568"/>
    </row>
    <row r="29" spans="1:32" ht="9.75" customHeight="1">
      <c r="A29" s="568"/>
      <c r="B29" s="568" t="s">
        <v>381</v>
      </c>
      <c r="C29" s="568">
        <v>12</v>
      </c>
      <c r="D29" s="568">
        <v>400</v>
      </c>
      <c r="E29" s="51">
        <v>0.0022</v>
      </c>
      <c r="F29" s="54">
        <f t="shared" si="0"/>
        <v>1.670256331491247</v>
      </c>
      <c r="G29" s="50">
        <v>1.15</v>
      </c>
      <c r="H29" s="568">
        <v>1965</v>
      </c>
      <c r="I29" s="576">
        <v>7305</v>
      </c>
      <c r="J29" s="50">
        <f t="shared" si="1"/>
        <v>3.0886867274444136</v>
      </c>
      <c r="K29" s="50">
        <f t="shared" si="2"/>
        <v>3.4912322588602698</v>
      </c>
      <c r="L29" s="107">
        <f t="shared" si="8"/>
        <v>3.4912322588602698</v>
      </c>
      <c r="M29" s="576">
        <v>4218</v>
      </c>
      <c r="N29" s="569">
        <f t="shared" si="3"/>
        <v>2.015881953165314</v>
      </c>
      <c r="O29" s="565"/>
      <c r="P29" s="571">
        <v>0</v>
      </c>
      <c r="Q29" s="565"/>
      <c r="R29" s="571">
        <v>0</v>
      </c>
      <c r="S29" s="565"/>
      <c r="T29" s="571">
        <v>0</v>
      </c>
      <c r="U29" s="568"/>
      <c r="V29" s="571">
        <v>0</v>
      </c>
      <c r="W29" s="568"/>
      <c r="X29" s="571">
        <v>0</v>
      </c>
      <c r="Y29" s="568"/>
      <c r="Z29" s="571">
        <v>0</v>
      </c>
      <c r="AA29" s="568">
        <v>972</v>
      </c>
      <c r="AB29" s="571">
        <f t="shared" si="4"/>
        <v>0.46454178721590444</v>
      </c>
      <c r="AC29" s="568">
        <v>2115</v>
      </c>
      <c r="AD29" s="571">
        <f t="shared" si="4"/>
        <v>1.0108085184790514</v>
      </c>
      <c r="AE29" s="576">
        <f t="shared" si="5"/>
        <v>7305</v>
      </c>
      <c r="AF29" s="568"/>
    </row>
    <row r="30" spans="1:32" ht="9.75" customHeight="1">
      <c r="A30" s="568"/>
      <c r="B30" s="568"/>
      <c r="C30" s="568">
        <v>12</v>
      </c>
      <c r="D30" s="568">
        <v>400</v>
      </c>
      <c r="E30" s="51">
        <v>0.0022</v>
      </c>
      <c r="F30" s="54">
        <f t="shared" si="0"/>
        <v>1.670256331491247</v>
      </c>
      <c r="G30" s="50">
        <v>1.15</v>
      </c>
      <c r="H30" s="568">
        <v>1965</v>
      </c>
      <c r="I30" s="576">
        <v>7305</v>
      </c>
      <c r="J30" s="50">
        <f t="shared" si="1"/>
        <v>3.0886867274444136</v>
      </c>
      <c r="K30" s="50">
        <f t="shared" si="2"/>
        <v>3.4912322588602698</v>
      </c>
      <c r="L30" s="107">
        <f t="shared" si="8"/>
        <v>3.4912322588602698</v>
      </c>
      <c r="M30" s="576">
        <v>4218</v>
      </c>
      <c r="N30" s="569">
        <f t="shared" si="3"/>
        <v>2.015881953165314</v>
      </c>
      <c r="O30" s="565"/>
      <c r="P30" s="571">
        <v>0</v>
      </c>
      <c r="Q30" s="565"/>
      <c r="R30" s="571">
        <v>0</v>
      </c>
      <c r="S30" s="565"/>
      <c r="T30" s="571">
        <v>0</v>
      </c>
      <c r="U30" s="568"/>
      <c r="V30" s="571">
        <v>0</v>
      </c>
      <c r="W30" s="568"/>
      <c r="X30" s="571">
        <v>0</v>
      </c>
      <c r="Y30" s="568"/>
      <c r="Z30" s="571">
        <v>0</v>
      </c>
      <c r="AA30" s="568">
        <v>972</v>
      </c>
      <c r="AB30" s="571">
        <f t="shared" si="4"/>
        <v>0.46454178721590444</v>
      </c>
      <c r="AC30" s="568">
        <v>2115</v>
      </c>
      <c r="AD30" s="571">
        <f t="shared" si="4"/>
        <v>1.0108085184790514</v>
      </c>
      <c r="AE30" s="576">
        <f t="shared" si="5"/>
        <v>7305</v>
      </c>
      <c r="AF30" s="568"/>
    </row>
    <row r="31" spans="1:32" ht="9.75" customHeight="1">
      <c r="A31" s="568"/>
      <c r="B31" s="568"/>
      <c r="C31" s="568">
        <v>12</v>
      </c>
      <c r="D31" s="568">
        <v>304</v>
      </c>
      <c r="E31" s="51">
        <v>0.0022</v>
      </c>
      <c r="F31" s="54">
        <f t="shared" si="0"/>
        <v>1.670256331491247</v>
      </c>
      <c r="G31" s="50">
        <v>1.61</v>
      </c>
      <c r="H31" s="568">
        <v>1965</v>
      </c>
      <c r="I31" s="576">
        <v>7305</v>
      </c>
      <c r="J31" s="50">
        <f t="shared" si="1"/>
        <v>3.0886867274444136</v>
      </c>
      <c r="K31" s="50">
        <f t="shared" si="2"/>
        <v>3.4912322588602698</v>
      </c>
      <c r="L31" s="107">
        <f t="shared" si="8"/>
        <v>3.4912322588602698</v>
      </c>
      <c r="M31" s="576">
        <v>4218</v>
      </c>
      <c r="N31" s="569">
        <f t="shared" si="3"/>
        <v>2.015881953165314</v>
      </c>
      <c r="O31" s="565"/>
      <c r="P31" s="571">
        <v>0</v>
      </c>
      <c r="Q31" s="565"/>
      <c r="R31" s="571">
        <v>0</v>
      </c>
      <c r="S31" s="565"/>
      <c r="T31" s="571">
        <v>0</v>
      </c>
      <c r="U31" s="568"/>
      <c r="V31" s="571">
        <v>0</v>
      </c>
      <c r="W31" s="568"/>
      <c r="X31" s="571">
        <v>0</v>
      </c>
      <c r="Y31" s="568"/>
      <c r="Z31" s="571">
        <v>0</v>
      </c>
      <c r="AA31" s="568">
        <v>972</v>
      </c>
      <c r="AB31" s="571">
        <f t="shared" si="4"/>
        <v>0.46454178721590444</v>
      </c>
      <c r="AC31" s="568">
        <v>2115</v>
      </c>
      <c r="AD31" s="571">
        <f t="shared" si="4"/>
        <v>1.0108085184790514</v>
      </c>
      <c r="AE31" s="576">
        <f t="shared" si="5"/>
        <v>7305</v>
      </c>
      <c r="AF31" s="568"/>
    </row>
    <row r="32" spans="1:32" ht="9.75" customHeight="1">
      <c r="A32" s="568"/>
      <c r="B32" s="568" t="s">
        <v>372</v>
      </c>
      <c r="C32" s="568">
        <v>15</v>
      </c>
      <c r="D32" s="568">
        <v>230</v>
      </c>
      <c r="E32" s="51">
        <v>0.0015</v>
      </c>
      <c r="F32" s="54">
        <f t="shared" si="0"/>
        <v>2.500599368661902</v>
      </c>
      <c r="G32" s="50">
        <v>2.37</v>
      </c>
      <c r="H32" s="568">
        <v>1965</v>
      </c>
      <c r="I32" s="576">
        <v>7305</v>
      </c>
      <c r="J32" s="50">
        <f t="shared" si="1"/>
        <v>3.0886867274444136</v>
      </c>
      <c r="K32" s="50">
        <f t="shared" si="2"/>
        <v>3.4912322588602698</v>
      </c>
      <c r="L32" s="107">
        <f t="shared" si="8"/>
        <v>3.4912322588602698</v>
      </c>
      <c r="M32" s="576">
        <v>4218</v>
      </c>
      <c r="N32" s="569">
        <f t="shared" si="3"/>
        <v>2.015881953165314</v>
      </c>
      <c r="O32" s="565"/>
      <c r="P32" s="571">
        <v>0</v>
      </c>
      <c r="Q32" s="565"/>
      <c r="R32" s="571">
        <v>0</v>
      </c>
      <c r="S32" s="565"/>
      <c r="T32" s="571">
        <v>0</v>
      </c>
      <c r="U32" s="568"/>
      <c r="V32" s="571">
        <v>0</v>
      </c>
      <c r="W32" s="568"/>
      <c r="X32" s="571">
        <v>0</v>
      </c>
      <c r="Y32" s="568"/>
      <c r="Z32" s="571">
        <v>0</v>
      </c>
      <c r="AA32" s="568">
        <v>972</v>
      </c>
      <c r="AB32" s="571">
        <f t="shared" si="4"/>
        <v>0.46454178721590444</v>
      </c>
      <c r="AC32" s="568">
        <v>2115</v>
      </c>
      <c r="AD32" s="571">
        <f t="shared" si="4"/>
        <v>1.0108085184790514</v>
      </c>
      <c r="AE32" s="576">
        <f t="shared" si="5"/>
        <v>7305</v>
      </c>
      <c r="AF32" s="568"/>
    </row>
    <row r="33" spans="1:32" ht="9.75" customHeight="1">
      <c r="A33" s="568"/>
      <c r="B33" s="568"/>
      <c r="C33" s="568">
        <v>15</v>
      </c>
      <c r="D33" s="568">
        <v>230</v>
      </c>
      <c r="E33" s="51">
        <v>0.0015</v>
      </c>
      <c r="F33" s="54">
        <f t="shared" si="0"/>
        <v>2.500599368661902</v>
      </c>
      <c r="G33" s="50">
        <v>2.37</v>
      </c>
      <c r="H33" s="568">
        <v>1965</v>
      </c>
      <c r="I33" s="576">
        <v>7305</v>
      </c>
      <c r="J33" s="50">
        <f t="shared" si="1"/>
        <v>3.0886867274444136</v>
      </c>
      <c r="K33" s="50">
        <f t="shared" si="2"/>
        <v>3.4912322588602698</v>
      </c>
      <c r="L33" s="107">
        <f t="shared" si="8"/>
        <v>3.4912322588602698</v>
      </c>
      <c r="M33" s="576">
        <v>4218</v>
      </c>
      <c r="N33" s="569">
        <f t="shared" si="3"/>
        <v>2.015881953165314</v>
      </c>
      <c r="O33" s="565"/>
      <c r="P33" s="571">
        <v>0</v>
      </c>
      <c r="Q33" s="565"/>
      <c r="R33" s="571">
        <v>0</v>
      </c>
      <c r="S33" s="565"/>
      <c r="T33" s="571">
        <v>0</v>
      </c>
      <c r="U33" s="568"/>
      <c r="V33" s="571">
        <v>0</v>
      </c>
      <c r="W33" s="568"/>
      <c r="X33" s="571">
        <v>0</v>
      </c>
      <c r="Y33" s="568"/>
      <c r="Z33" s="571">
        <v>0</v>
      </c>
      <c r="AA33" s="568">
        <v>972</v>
      </c>
      <c r="AB33" s="571">
        <f t="shared" si="4"/>
        <v>0.46454178721590444</v>
      </c>
      <c r="AC33" s="568">
        <v>2115</v>
      </c>
      <c r="AD33" s="571">
        <f t="shared" si="4"/>
        <v>1.0108085184790514</v>
      </c>
      <c r="AE33" s="576">
        <f t="shared" si="5"/>
        <v>7305</v>
      </c>
      <c r="AF33" s="568"/>
    </row>
    <row r="34" spans="1:32" ht="9.75" customHeight="1">
      <c r="A34" s="568"/>
      <c r="B34" s="568" t="s">
        <v>382</v>
      </c>
      <c r="C34" s="568">
        <v>15</v>
      </c>
      <c r="D34" s="568">
        <v>204</v>
      </c>
      <c r="E34" s="51">
        <v>0.0015</v>
      </c>
      <c r="F34" s="54">
        <f t="shared" si="0"/>
        <v>2.500599368661902</v>
      </c>
      <c r="G34" s="50">
        <v>2.42</v>
      </c>
      <c r="H34" s="568">
        <v>1965</v>
      </c>
      <c r="I34" s="576">
        <v>7305</v>
      </c>
      <c r="J34" s="50">
        <f t="shared" si="1"/>
        <v>3.0886867274444136</v>
      </c>
      <c r="K34" s="50">
        <f t="shared" si="2"/>
        <v>3.4912322588602698</v>
      </c>
      <c r="L34" s="107">
        <f t="shared" si="8"/>
        <v>3.4912322588602698</v>
      </c>
      <c r="M34" s="576">
        <v>4218</v>
      </c>
      <c r="N34" s="569">
        <f t="shared" si="3"/>
        <v>2.015881953165314</v>
      </c>
      <c r="O34" s="565"/>
      <c r="P34" s="571">
        <v>0</v>
      </c>
      <c r="Q34" s="565"/>
      <c r="R34" s="571">
        <v>0</v>
      </c>
      <c r="S34" s="565"/>
      <c r="T34" s="571">
        <v>0</v>
      </c>
      <c r="U34" s="568"/>
      <c r="V34" s="571">
        <v>0</v>
      </c>
      <c r="W34" s="568"/>
      <c r="X34" s="571">
        <v>0</v>
      </c>
      <c r="Y34" s="568"/>
      <c r="Z34" s="571">
        <v>0</v>
      </c>
      <c r="AA34" s="568">
        <v>972</v>
      </c>
      <c r="AB34" s="571">
        <f t="shared" si="4"/>
        <v>0.46454178721590444</v>
      </c>
      <c r="AC34" s="568">
        <v>2115</v>
      </c>
      <c r="AD34" s="571">
        <f t="shared" si="4"/>
        <v>1.0108085184790514</v>
      </c>
      <c r="AE34" s="576">
        <f t="shared" si="5"/>
        <v>7305</v>
      </c>
      <c r="AF34" s="568"/>
    </row>
    <row r="35" spans="1:32" ht="9.75" customHeight="1">
      <c r="A35" s="43"/>
      <c r="B35" s="43"/>
      <c r="C35" s="43">
        <v>0</v>
      </c>
      <c r="D35" s="43">
        <v>0</v>
      </c>
      <c r="E35" s="52">
        <v>0</v>
      </c>
      <c r="F35" s="61">
        <f t="shared" si="0"/>
        <v>0</v>
      </c>
      <c r="G35" s="58">
        <v>2.42</v>
      </c>
      <c r="H35" s="43">
        <v>1965</v>
      </c>
      <c r="I35" s="55">
        <v>7305</v>
      </c>
      <c r="J35" s="58">
        <f t="shared" si="1"/>
        <v>3.0886867274444136</v>
      </c>
      <c r="K35" s="58">
        <f t="shared" si="2"/>
        <v>3.4912322588602698</v>
      </c>
      <c r="L35" s="108">
        <f t="shared" si="8"/>
        <v>3.4912322588602698</v>
      </c>
      <c r="M35" s="55">
        <v>4218</v>
      </c>
      <c r="N35" s="67">
        <f t="shared" si="3"/>
        <v>2.015881953165314</v>
      </c>
      <c r="O35" s="135"/>
      <c r="P35" s="71">
        <v>0</v>
      </c>
      <c r="Q35" s="135"/>
      <c r="R35" s="71">
        <v>0</v>
      </c>
      <c r="S35" s="180"/>
      <c r="T35" s="71">
        <v>0</v>
      </c>
      <c r="U35" s="43"/>
      <c r="V35" s="71">
        <v>0</v>
      </c>
      <c r="W35" s="43"/>
      <c r="X35" s="71">
        <v>0</v>
      </c>
      <c r="Y35" s="43"/>
      <c r="Z35" s="71">
        <v>0</v>
      </c>
      <c r="AA35" s="43">
        <v>972</v>
      </c>
      <c r="AB35" s="71">
        <f t="shared" si="4"/>
        <v>0.46454178721590444</v>
      </c>
      <c r="AC35" s="43">
        <v>2115</v>
      </c>
      <c r="AD35" s="71">
        <f t="shared" si="4"/>
        <v>1.0108085184790514</v>
      </c>
      <c r="AE35" s="55">
        <f t="shared" si="5"/>
        <v>7305</v>
      </c>
      <c r="AF35" s="568"/>
    </row>
    <row r="41" spans="5:16" s="589" customFormat="1" ht="12.75">
      <c r="E41" s="624"/>
      <c r="G41" s="625"/>
      <c r="I41" s="626"/>
      <c r="M41" s="626"/>
      <c r="N41" s="627"/>
      <c r="P41" s="627"/>
    </row>
    <row r="42" spans="5:16" s="589" customFormat="1" ht="12.75">
      <c r="E42" s="624"/>
      <c r="G42" s="625"/>
      <c r="I42" s="626"/>
      <c r="M42" s="626"/>
      <c r="N42" s="627"/>
      <c r="P42" s="627"/>
    </row>
    <row r="43" spans="5:16" s="589" customFormat="1" ht="12.75">
      <c r="E43" s="624"/>
      <c r="G43" s="625"/>
      <c r="I43" s="626"/>
      <c r="M43" s="626"/>
      <c r="N43" s="627"/>
      <c r="P43" s="627"/>
    </row>
    <row r="45" spans="5:16" s="589" customFormat="1" ht="12.75">
      <c r="E45" s="624"/>
      <c r="G45" s="625"/>
      <c r="I45" s="626"/>
      <c r="M45" s="626"/>
      <c r="N45" s="627"/>
      <c r="P45" s="627"/>
    </row>
    <row r="46" spans="5:16" s="589" customFormat="1" ht="12.75">
      <c r="E46" s="624"/>
      <c r="G46" s="625"/>
      <c r="I46" s="626"/>
      <c r="M46" s="626"/>
      <c r="N46" s="627"/>
      <c r="P46" s="627"/>
    </row>
    <row r="47" spans="5:16" s="589" customFormat="1" ht="12.75">
      <c r="E47" s="624"/>
      <c r="G47" s="625"/>
      <c r="I47" s="626"/>
      <c r="M47" s="626"/>
      <c r="N47" s="627"/>
      <c r="P47" s="627"/>
    </row>
    <row r="48" spans="5:16" s="589" customFormat="1" ht="12.75">
      <c r="E48" s="624"/>
      <c r="G48" s="625"/>
      <c r="I48" s="626"/>
      <c r="M48" s="626"/>
      <c r="N48" s="627"/>
      <c r="P48" s="627"/>
    </row>
    <row r="62" ht="12.75">
      <c r="I62" s="628"/>
    </row>
    <row r="68" spans="5:16" s="589" customFormat="1" ht="12.75">
      <c r="E68" s="624"/>
      <c r="G68" s="625"/>
      <c r="I68" s="626"/>
      <c r="M68" s="626"/>
      <c r="N68" s="627"/>
      <c r="P68" s="627"/>
    </row>
  </sheetData>
  <sheetProtection/>
  <mergeCells count="13">
    <mergeCell ref="S7:T7"/>
    <mergeCell ref="AC7:AD7"/>
    <mergeCell ref="AA7:AB7"/>
    <mergeCell ref="M7:N7"/>
    <mergeCell ref="O7:P7"/>
    <mergeCell ref="Q7:R7"/>
    <mergeCell ref="U7:V7"/>
    <mergeCell ref="W7:X7"/>
    <mergeCell ref="Y7:Z7"/>
    <mergeCell ref="D6:E6"/>
    <mergeCell ref="F6:G6"/>
    <mergeCell ref="H6:I6"/>
    <mergeCell ref="A7:B7"/>
  </mergeCells>
  <printOptions/>
  <pageMargins left="0.47" right="0.34" top="0.39" bottom="0.75" header="0.3" footer="0.3"/>
  <pageSetup fitToHeight="1" fitToWidth="1" horizontalDpi="600" verticalDpi="600" orientation="landscape" scale="76" r:id="rId1"/>
  <headerFooter alignWithMargins="0">
    <oddFooter>&amp;L&amp;8Revised:                             6/1/2012
App. by OSG Tech. Comm.  &amp;CPage 12 of 13 Pages</oddFooter>
  </headerFooter>
  <rowBreaks count="1" manualBreakCount="1">
    <brk id="81" max="255" man="1"/>
  </rowBreaks>
  <colBreaks count="1" manualBreakCount="1">
    <brk id="8" max="65535" man="1"/>
  </colBreaks>
</worksheet>
</file>

<file path=xl/worksheets/sheet2.xml><?xml version="1.0" encoding="utf-8"?>
<worksheet xmlns="http://schemas.openxmlformats.org/spreadsheetml/2006/main" xmlns:r="http://schemas.openxmlformats.org/officeDocument/2006/relationships">
  <dimension ref="A1:K32"/>
  <sheetViews>
    <sheetView view="pageLayout" zoomScale="0" zoomScaleNormal="75" zoomScaleSheetLayoutView="100" zoomScalePageLayoutView="0" workbookViewId="0" topLeftCell="A1">
      <selection activeCell="G28" sqref="G28"/>
      <selection activeCell="A1" sqref="A1"/>
    </sheetView>
  </sheetViews>
  <sheetFormatPr defaultColWidth="9.140625" defaultRowHeight="15" customHeight="1"/>
  <cols>
    <col min="1" max="1" width="64.421875" style="1" customWidth="1"/>
    <col min="2" max="2" width="13.140625" style="256" customWidth="1"/>
    <col min="3" max="3" width="10.7109375" style="215" customWidth="1"/>
    <col min="4" max="4" width="1.7109375" style="0" customWidth="1"/>
  </cols>
  <sheetData>
    <row r="1" ht="24.75" customHeight="1">
      <c r="A1" s="7" t="s">
        <v>0</v>
      </c>
    </row>
    <row r="2" ht="24.75" customHeight="1">
      <c r="A2" s="7" t="s">
        <v>1</v>
      </c>
    </row>
    <row r="3" ht="24.75" customHeight="1">
      <c r="A3" s="7" t="s">
        <v>2</v>
      </c>
    </row>
    <row r="4" ht="24.75" customHeight="1" thickBot="1">
      <c r="A4" s="7" t="s">
        <v>3</v>
      </c>
    </row>
    <row r="5" spans="1:4" ht="30" customHeight="1" thickBot="1">
      <c r="A5" s="653" t="s">
        <v>4</v>
      </c>
      <c r="B5" s="656" t="s">
        <v>5</v>
      </c>
      <c r="C5" s="657"/>
      <c r="D5" s="2"/>
    </row>
    <row r="6" spans="1:4" ht="30" customHeight="1" thickBot="1">
      <c r="A6" s="654"/>
      <c r="B6" s="260" t="s">
        <v>24</v>
      </c>
      <c r="C6" s="216" t="s">
        <v>490</v>
      </c>
      <c r="D6" s="2"/>
    </row>
    <row r="7" spans="1:4" ht="15" customHeight="1" thickBot="1">
      <c r="A7" s="655"/>
      <c r="B7" s="603">
        <v>9.84</v>
      </c>
      <c r="C7" s="261"/>
      <c r="D7" s="2"/>
    </row>
    <row r="8" spans="1:3" ht="19.5" customHeight="1" thickBot="1">
      <c r="A8" s="604"/>
      <c r="B8" s="603"/>
      <c r="C8" s="605"/>
    </row>
    <row r="9" spans="1:3" ht="19.5" customHeight="1">
      <c r="A9" s="606" t="s">
        <v>9</v>
      </c>
      <c r="B9" s="614">
        <f>'Exhibit 1-New'!L21</f>
        <v>0.1527</v>
      </c>
      <c r="C9" s="615">
        <f>B9/$B$29</f>
        <v>0.01551829268292683</v>
      </c>
    </row>
    <row r="10" spans="1:3" ht="19.5" customHeight="1">
      <c r="A10" s="3" t="s">
        <v>10</v>
      </c>
      <c r="B10" s="214">
        <f>'Exhibit 1-New'!L25</f>
        <v>0.2771</v>
      </c>
      <c r="C10" s="262">
        <f>B10/$B$29</f>
        <v>0.02816056910569106</v>
      </c>
    </row>
    <row r="11" spans="1:3" ht="19.5" customHeight="1">
      <c r="A11" s="3" t="s">
        <v>445</v>
      </c>
      <c r="B11" s="214">
        <f>'Exhibit 1-New'!L22</f>
        <v>0.0412</v>
      </c>
      <c r="C11" s="262">
        <f aca="true" t="shared" si="0" ref="C11:C18">B11/$B$29</f>
        <v>0.0041869918699187</v>
      </c>
    </row>
    <row r="12" spans="1:3" ht="19.5" customHeight="1">
      <c r="A12" s="3" t="s">
        <v>446</v>
      </c>
      <c r="B12" s="214">
        <f>'Exhibit 1-New'!L23</f>
        <v>0.2339</v>
      </c>
      <c r="C12" s="262">
        <f t="shared" si="0"/>
        <v>0.02377032520325203</v>
      </c>
    </row>
    <row r="13" spans="1:3" ht="19.5" customHeight="1">
      <c r="A13" s="3" t="s">
        <v>11</v>
      </c>
      <c r="B13" s="214">
        <f>'Exhibit 1-New'!L24</f>
        <v>0.0516</v>
      </c>
      <c r="C13" s="262">
        <f t="shared" si="0"/>
        <v>0.0052439024390243906</v>
      </c>
    </row>
    <row r="14" spans="1:3" ht="19.5" customHeight="1">
      <c r="A14" s="3" t="s">
        <v>12</v>
      </c>
      <c r="B14" s="214">
        <f>'Exhibit 1-New'!L27+'Exhibit 1-New'!L29</f>
        <v>0.13</v>
      </c>
      <c r="C14" s="262">
        <f t="shared" si="0"/>
        <v>0.013211382113821139</v>
      </c>
    </row>
    <row r="15" spans="1:3" ht="19.5" customHeight="1">
      <c r="A15" s="3" t="s">
        <v>13</v>
      </c>
      <c r="B15" s="214">
        <f>'Exhibit 1-New'!L48+'Exhibit 1-New'!L49+'Exhibit 1-New'!L51</f>
        <v>0.26439999999999997</v>
      </c>
      <c r="C15" s="262">
        <f t="shared" si="0"/>
        <v>0.02686991869918699</v>
      </c>
    </row>
    <row r="16" spans="1:3" ht="19.5" customHeight="1">
      <c r="A16" s="3" t="s">
        <v>14</v>
      </c>
      <c r="B16" s="214">
        <f>SUM('Exhibit 1-New'!L31:L36)+'Exhibit 1-New'!L38</f>
        <v>0.0437</v>
      </c>
      <c r="C16" s="262">
        <f t="shared" si="0"/>
        <v>0.004441056910569106</v>
      </c>
    </row>
    <row r="17" spans="1:3" ht="19.5" customHeight="1">
      <c r="A17" s="3" t="s">
        <v>444</v>
      </c>
      <c r="B17" s="214">
        <f>'Exhibit 1-New'!L68</f>
        <v>0.0034</v>
      </c>
      <c r="C17" s="262">
        <f t="shared" si="0"/>
        <v>0.00034552845528455285</v>
      </c>
    </row>
    <row r="18" spans="1:3" ht="19.5" customHeight="1">
      <c r="A18" s="3" t="s">
        <v>15</v>
      </c>
      <c r="B18" s="214">
        <f>'Exhibit 1-New'!L61+'Exhibit 1-New'!L54+'Exhibit 1-New'!L52+'Exhibit 1-New'!L39</f>
        <v>0.1489</v>
      </c>
      <c r="C18" s="262">
        <f t="shared" si="0"/>
        <v>0.015132113821138212</v>
      </c>
    </row>
    <row r="19" spans="1:3" ht="19.5" customHeight="1">
      <c r="A19" s="3" t="s">
        <v>16</v>
      </c>
      <c r="B19" s="214">
        <f>'Exhibit 1-New'!L41</f>
        <v>0.0442</v>
      </c>
      <c r="C19" s="262">
        <f aca="true" t="shared" si="1" ref="C19:C28">B19/$B$29</f>
        <v>0.004491869918699188</v>
      </c>
    </row>
    <row r="20" spans="1:3" ht="19.5" customHeight="1">
      <c r="A20" s="3" t="s">
        <v>17</v>
      </c>
      <c r="B20" s="214">
        <f>'Exhibit 1-New'!L30</f>
        <v>0.0073</v>
      </c>
      <c r="C20" s="262">
        <f t="shared" si="1"/>
        <v>0.000741869918699187</v>
      </c>
    </row>
    <row r="21" spans="1:3" ht="19.5" customHeight="1">
      <c r="A21" s="3" t="s">
        <v>18</v>
      </c>
      <c r="B21" s="214">
        <f>'Exhibit 1-New'!L45</f>
        <v>0.0868</v>
      </c>
      <c r="C21" s="262">
        <f t="shared" si="1"/>
        <v>0.008821138211382114</v>
      </c>
    </row>
    <row r="22" spans="1:3" ht="19.5" customHeight="1">
      <c r="A22" s="3" t="s">
        <v>19</v>
      </c>
      <c r="B22" s="214">
        <f>'Exhibit 1-New'!L43</f>
        <v>0.071</v>
      </c>
      <c r="C22" s="262">
        <f t="shared" si="1"/>
        <v>0.007215447154471544</v>
      </c>
    </row>
    <row r="23" spans="1:3" ht="19.5" customHeight="1">
      <c r="A23" s="3" t="s">
        <v>20</v>
      </c>
      <c r="B23" s="214">
        <f>'Exhibit 1-New'!L65</f>
        <v>0.2376</v>
      </c>
      <c r="C23" s="262">
        <f t="shared" si="1"/>
        <v>0.024146341463414635</v>
      </c>
    </row>
    <row r="24" spans="1:3" ht="19.5" customHeight="1">
      <c r="A24" s="3" t="s">
        <v>21</v>
      </c>
      <c r="B24" s="214">
        <f>'Exhibit 1-New'!L62</f>
        <v>0.1676</v>
      </c>
      <c r="C24" s="262">
        <f t="shared" si="1"/>
        <v>0.017032520325203252</v>
      </c>
    </row>
    <row r="25" spans="1:3" ht="19.5" customHeight="1">
      <c r="A25" s="3" t="s">
        <v>22</v>
      </c>
      <c r="B25" s="214">
        <f>'Exhibit 1-New'!L55</f>
        <v>0.3453</v>
      </c>
      <c r="C25" s="262">
        <f t="shared" si="1"/>
        <v>0.03509146341463415</v>
      </c>
    </row>
    <row r="26" spans="1:3" ht="19.5" customHeight="1">
      <c r="A26" s="257" t="s">
        <v>23</v>
      </c>
      <c r="B26" s="258">
        <f>'Exhibit 1-New'!L59+'Exhibit 1-New'!L66</f>
        <v>0.7149</v>
      </c>
      <c r="C26" s="259">
        <f t="shared" si="1"/>
        <v>0.07265243902439024</v>
      </c>
    </row>
    <row r="27" spans="1:3" ht="19.5" customHeight="1">
      <c r="A27" s="4" t="s">
        <v>491</v>
      </c>
      <c r="B27" s="616">
        <f>SUM(B9:B26)</f>
        <v>3.0216000000000003</v>
      </c>
      <c r="C27" s="617">
        <f t="shared" si="1"/>
        <v>0.30707317073170737</v>
      </c>
    </row>
    <row r="28" spans="1:3" ht="19.5" customHeight="1">
      <c r="A28" s="5" t="s">
        <v>6</v>
      </c>
      <c r="B28" s="618">
        <f>B7-B27</f>
        <v>6.8184</v>
      </c>
      <c r="C28" s="619">
        <f t="shared" si="1"/>
        <v>0.6929268292682926</v>
      </c>
    </row>
    <row r="29" spans="1:3" ht="19.5" customHeight="1" thickBot="1">
      <c r="A29" s="6" t="s">
        <v>7</v>
      </c>
      <c r="B29" s="620">
        <f>B28+B27</f>
        <v>9.84</v>
      </c>
      <c r="C29" s="621">
        <f>C27+C28</f>
        <v>1</v>
      </c>
    </row>
    <row r="31" spans="1:11" ht="15" customHeight="1">
      <c r="A31" s="292"/>
      <c r="B31" s="537"/>
      <c r="C31" s="538"/>
      <c r="D31" s="292"/>
      <c r="E31" s="292"/>
      <c r="F31" s="292"/>
      <c r="G31" s="292"/>
      <c r="H31" s="292"/>
      <c r="I31" s="539"/>
      <c r="J31" s="539"/>
      <c r="K31" s="539"/>
    </row>
    <row r="32" spans="1:11" ht="15" customHeight="1">
      <c r="A32" s="267"/>
      <c r="D32" s="267"/>
      <c r="E32" s="267"/>
      <c r="F32" s="267"/>
      <c r="G32" s="267"/>
      <c r="H32" s="267"/>
      <c r="I32" s="539"/>
      <c r="J32" s="539"/>
      <c r="K32" s="539"/>
    </row>
  </sheetData>
  <sheetProtection/>
  <mergeCells count="2">
    <mergeCell ref="A5:A7"/>
    <mergeCell ref="B5:C5"/>
  </mergeCells>
  <printOptions horizontalCentered="1"/>
  <pageMargins left="0.75" right="0.47" top="1" bottom="1" header="0.5" footer="0.5"/>
  <pageSetup horizontalDpi="600" verticalDpi="600" orientation="portrait" r:id="rId1"/>
  <headerFooter alignWithMargins="0">
    <oddFooter>&amp;L&amp;8Revised:                             6/1/2012
App.by OSG Tech. Comm.  &amp;CPage 1 of 1</oddFooter>
  </headerFooter>
  <rowBreaks count="1" manualBreakCount="1">
    <brk id="81" max="255" man="1"/>
  </rowBreaks>
  <colBreaks count="1" manualBreakCount="1">
    <brk id="8" max="65535" man="1"/>
  </colBreaks>
</worksheet>
</file>

<file path=xl/worksheets/sheet20.xml><?xml version="1.0" encoding="utf-8"?>
<worksheet xmlns="http://schemas.openxmlformats.org/spreadsheetml/2006/main" xmlns:r="http://schemas.openxmlformats.org/officeDocument/2006/relationships">
  <sheetPr>
    <pageSetUpPr fitToPage="1"/>
  </sheetPr>
  <dimension ref="A1:AE84"/>
  <sheetViews>
    <sheetView view="pageLayout" zoomScale="0" zoomScaleNormal="90" zoomScaleSheetLayoutView="100" zoomScalePageLayoutView="0" workbookViewId="0" topLeftCell="A1">
      <selection activeCell="G28" sqref="G28"/>
      <selection activeCell="A1" sqref="A1"/>
    </sheetView>
  </sheetViews>
  <sheetFormatPr defaultColWidth="3.28125" defaultRowHeight="12.75"/>
  <cols>
    <col min="1" max="1" width="14.140625" style="22" customWidth="1"/>
    <col min="2" max="2" width="13.28125" style="29" customWidth="1"/>
    <col min="3" max="3" width="4.7109375" style="22" customWidth="1"/>
    <col min="4" max="4" width="4.28125" style="22" customWidth="1"/>
    <col min="5" max="5" width="5.28125" style="33" customWidth="1"/>
    <col min="6" max="6" width="5.28125" style="28" customWidth="1"/>
    <col min="7" max="7" width="4.8515625" style="22" customWidth="1"/>
    <col min="8" max="8" width="5.57421875" style="568" customWidth="1"/>
    <col min="9" max="9" width="8.421875" style="22" customWidth="1"/>
    <col min="10" max="10" width="4.7109375" style="60" customWidth="1"/>
    <col min="11" max="11" width="5.421875" style="22" customWidth="1"/>
    <col min="12" max="12" width="5.00390625" style="22" customWidth="1"/>
    <col min="13" max="13" width="7.421875" style="56" customWidth="1"/>
    <col min="14" max="14" width="4.421875" style="22" customWidth="1"/>
    <col min="15" max="15" width="4.7109375" style="22" customWidth="1"/>
    <col min="16" max="16" width="5.00390625" style="22" customWidth="1"/>
    <col min="17" max="17" width="5.140625" style="22" customWidth="1"/>
    <col min="18" max="18" width="5.28125" style="22" customWidth="1"/>
    <col min="19" max="19" width="5.140625" style="22" customWidth="1"/>
    <col min="20" max="20" width="4.421875" style="22" customWidth="1"/>
    <col min="21" max="21" width="5.140625" style="22" customWidth="1"/>
    <col min="22" max="22" width="4.8515625" style="22" customWidth="1"/>
    <col min="23" max="23" width="5.28125" style="168" customWidth="1"/>
    <col min="24" max="24" width="4.57421875" style="22" customWidth="1"/>
    <col min="25" max="25" width="5.140625" style="22" customWidth="1"/>
    <col min="26" max="26" width="4.57421875" style="22" customWidth="1"/>
    <col min="27" max="27" width="5.140625" style="22" customWidth="1"/>
    <col min="28" max="28" width="4.421875" style="22" customWidth="1"/>
    <col min="29" max="29" width="5.140625" style="22" customWidth="1"/>
    <col min="30" max="30" width="4.421875" style="22" customWidth="1"/>
    <col min="31" max="31" width="6.7109375" style="56" customWidth="1"/>
    <col min="32" max="16384" width="3.28125" style="22" customWidth="1"/>
  </cols>
  <sheetData>
    <row r="1" spans="1:31" s="69" customFormat="1" ht="8.25">
      <c r="A1" s="69" t="s">
        <v>172</v>
      </c>
      <c r="B1" s="568"/>
      <c r="E1" s="51"/>
      <c r="F1" s="50"/>
      <c r="G1" s="433"/>
      <c r="H1" s="568"/>
      <c r="I1" s="434"/>
      <c r="J1" s="433"/>
      <c r="M1" s="576"/>
      <c r="P1" s="435"/>
      <c r="W1" s="434"/>
      <c r="AD1" s="436"/>
      <c r="AE1" s="576"/>
    </row>
    <row r="2" spans="1:31" s="69" customFormat="1" ht="8.25">
      <c r="A2" s="69" t="s">
        <v>1</v>
      </c>
      <c r="B2" s="568"/>
      <c r="E2" s="51"/>
      <c r="F2" s="50"/>
      <c r="G2" s="433"/>
      <c r="H2" s="568"/>
      <c r="I2" s="434"/>
      <c r="J2" s="433"/>
      <c r="M2" s="576"/>
      <c r="P2" s="435"/>
      <c r="W2" s="434"/>
      <c r="AD2" s="436"/>
      <c r="AE2" s="576"/>
    </row>
    <row r="3" spans="1:31" s="69" customFormat="1" ht="8.25">
      <c r="A3" s="69" t="s">
        <v>2</v>
      </c>
      <c r="B3" s="568"/>
      <c r="E3" s="51"/>
      <c r="F3" s="50"/>
      <c r="G3" s="433"/>
      <c r="H3" s="568"/>
      <c r="I3" s="434"/>
      <c r="J3" s="433"/>
      <c r="M3" s="576"/>
      <c r="P3" s="435"/>
      <c r="W3" s="434"/>
      <c r="AE3" s="576"/>
    </row>
    <row r="4" spans="1:31" s="69" customFormat="1" ht="8.25">
      <c r="A4" s="69" t="s">
        <v>173</v>
      </c>
      <c r="B4" s="568"/>
      <c r="E4" s="51"/>
      <c r="F4" s="50"/>
      <c r="G4" s="433"/>
      <c r="H4" s="568"/>
      <c r="I4" s="434"/>
      <c r="J4" s="433"/>
      <c r="M4" s="576"/>
      <c r="P4" s="435"/>
      <c r="W4" s="434"/>
      <c r="AE4" s="576"/>
    </row>
    <row r="5" spans="1:31" s="69" customFormat="1" ht="8.25">
      <c r="A5" s="69" t="s">
        <v>475</v>
      </c>
      <c r="B5" s="568"/>
      <c r="E5" s="51"/>
      <c r="F5" s="50"/>
      <c r="G5" s="433"/>
      <c r="H5" s="568"/>
      <c r="I5" s="434"/>
      <c r="J5" s="433"/>
      <c r="M5" s="576"/>
      <c r="P5" s="435"/>
      <c r="W5" s="434"/>
      <c r="AE5" s="576"/>
    </row>
    <row r="6" spans="1:31" ht="8.25">
      <c r="A6" s="673" t="s">
        <v>179</v>
      </c>
      <c r="B6" s="673"/>
      <c r="C6" s="568"/>
      <c r="D6" s="568"/>
      <c r="E6" s="51"/>
      <c r="F6" s="50"/>
      <c r="G6" s="50" t="s">
        <v>44</v>
      </c>
      <c r="I6" s="576" t="s">
        <v>175</v>
      </c>
      <c r="J6" s="50"/>
      <c r="K6" s="568" t="s">
        <v>203</v>
      </c>
      <c r="L6" s="568" t="s">
        <v>204</v>
      </c>
      <c r="M6" s="580" t="s">
        <v>44</v>
      </c>
      <c r="N6" s="580"/>
      <c r="O6" s="568" t="s">
        <v>66</v>
      </c>
      <c r="P6" s="568"/>
      <c r="Q6" s="568" t="s">
        <v>375</v>
      </c>
      <c r="R6" s="568"/>
      <c r="S6" s="568" t="s">
        <v>51</v>
      </c>
      <c r="T6" s="566"/>
      <c r="U6" s="565" t="s">
        <v>178</v>
      </c>
      <c r="V6" s="566"/>
      <c r="W6" s="565" t="s">
        <v>68</v>
      </c>
      <c r="X6" s="566"/>
      <c r="Y6" s="565" t="s">
        <v>65</v>
      </c>
      <c r="Z6" s="566"/>
      <c r="AA6" s="565" t="s">
        <v>207</v>
      </c>
      <c r="AB6" s="566"/>
      <c r="AC6" s="565" t="s">
        <v>208</v>
      </c>
      <c r="AD6" s="566"/>
      <c r="AE6" s="576" t="s">
        <v>7</v>
      </c>
    </row>
    <row r="7" spans="1:31" ht="17.25" thickBot="1">
      <c r="A7" s="78" t="s">
        <v>214</v>
      </c>
      <c r="B7" s="78" t="s">
        <v>215</v>
      </c>
      <c r="C7" s="78" t="s">
        <v>180</v>
      </c>
      <c r="D7" s="78" t="s">
        <v>181</v>
      </c>
      <c r="E7" s="79" t="s">
        <v>182</v>
      </c>
      <c r="F7" s="84" t="s">
        <v>183</v>
      </c>
      <c r="G7" s="83" t="s">
        <v>204</v>
      </c>
      <c r="H7" s="78" t="s">
        <v>212</v>
      </c>
      <c r="I7" s="82" t="s">
        <v>184</v>
      </c>
      <c r="J7" s="83" t="s">
        <v>185</v>
      </c>
      <c r="K7" s="78" t="s">
        <v>204</v>
      </c>
      <c r="L7" s="85" t="s">
        <v>199</v>
      </c>
      <c r="M7" s="414" t="s">
        <v>187</v>
      </c>
      <c r="N7" s="184" t="s">
        <v>200</v>
      </c>
      <c r="O7" s="183" t="s">
        <v>187</v>
      </c>
      <c r="P7" s="185" t="s">
        <v>200</v>
      </c>
      <c r="Q7" s="183" t="s">
        <v>187</v>
      </c>
      <c r="R7" s="185" t="s">
        <v>200</v>
      </c>
      <c r="S7" s="183" t="s">
        <v>187</v>
      </c>
      <c r="T7" s="185" t="s">
        <v>200</v>
      </c>
      <c r="U7" s="183" t="s">
        <v>187</v>
      </c>
      <c r="V7" s="185" t="s">
        <v>200</v>
      </c>
      <c r="W7" s="233" t="s">
        <v>187</v>
      </c>
      <c r="X7" s="185" t="s">
        <v>200</v>
      </c>
      <c r="Y7" s="183" t="s">
        <v>187</v>
      </c>
      <c r="Z7" s="185" t="s">
        <v>200</v>
      </c>
      <c r="AA7" s="183" t="s">
        <v>187</v>
      </c>
      <c r="AB7" s="185" t="s">
        <v>200</v>
      </c>
      <c r="AC7" s="183" t="s">
        <v>187</v>
      </c>
      <c r="AD7" s="185" t="s">
        <v>200</v>
      </c>
      <c r="AE7" s="82" t="s">
        <v>187</v>
      </c>
    </row>
    <row r="8" spans="1:31" ht="9" thickTop="1">
      <c r="A8" s="222" t="s">
        <v>503</v>
      </c>
      <c r="B8" s="568" t="s">
        <v>504</v>
      </c>
      <c r="C8" s="568"/>
      <c r="D8" s="568"/>
      <c r="E8" s="51"/>
      <c r="F8" s="54"/>
      <c r="G8" s="576">
        <v>0</v>
      </c>
      <c r="I8" s="576">
        <f aca="true" t="shared" si="0" ref="I8:I37">AE8</f>
        <v>4365</v>
      </c>
      <c r="J8" s="50">
        <f aca="true" t="shared" si="1" ref="J8:J39">(18+SQRT(I8/1000))/(4+SQRT(I8/1000))</f>
        <v>3.2991306074699915</v>
      </c>
      <c r="K8" s="50">
        <f aca="true" t="shared" si="2" ref="K8:K39">I8*100*J8/(7.48*24*60*60)</f>
        <v>2.2282730957873023</v>
      </c>
      <c r="L8" s="42"/>
      <c r="M8" s="50">
        <v>0</v>
      </c>
      <c r="N8" s="580"/>
      <c r="O8" s="576">
        <v>868</v>
      </c>
      <c r="P8" s="441">
        <f aca="true" t="shared" si="3" ref="P8:P39">O8*100*$J$11/(7.48*24*60*60)</f>
        <v>0.4391512321503118</v>
      </c>
      <c r="Q8" s="565">
        <v>0</v>
      </c>
      <c r="R8" s="441">
        <f aca="true" t="shared" si="4" ref="R8:R39">Q8*100*$J$11/(7.48*24*60*60)</f>
        <v>0</v>
      </c>
      <c r="S8" s="565">
        <v>0</v>
      </c>
      <c r="T8" s="441">
        <f aca="true" t="shared" si="5" ref="T8:T39">S8*100*$J$11/(7.48*24*60*60)</f>
        <v>0</v>
      </c>
      <c r="U8" s="565">
        <v>0</v>
      </c>
      <c r="V8" s="441">
        <f aca="true" t="shared" si="6" ref="V8:V39">U8*100*$J$11/(7.48*24*60*60)</f>
        <v>0</v>
      </c>
      <c r="W8" s="173">
        <v>3497</v>
      </c>
      <c r="X8" s="441">
        <f aca="true" t="shared" si="7" ref="X8:X39">W8*100*$J$11/(7.48*24*60*60)</f>
        <v>1.7692532935825351</v>
      </c>
      <c r="Y8" s="565">
        <v>0</v>
      </c>
      <c r="Z8" s="441">
        <f aca="true" t="shared" si="8" ref="Z8:Z39">Y8*100*$J$11/(7.48*24*60*60)</f>
        <v>0</v>
      </c>
      <c r="AA8" s="565">
        <v>0</v>
      </c>
      <c r="AB8" s="441">
        <f aca="true" t="shared" si="9" ref="AB8:AB39">AA8*100*$J$11/(7.48*24*60*60)</f>
        <v>0</v>
      </c>
      <c r="AC8" s="565">
        <v>0</v>
      </c>
      <c r="AD8" s="441">
        <f aca="true" t="shared" si="10" ref="AD8:AD39">AC8*100*$J$11/(7.48*24*60*60)</f>
        <v>0</v>
      </c>
      <c r="AE8" s="576">
        <f>AC8+AA8+Y8+W8+U8+S8+Q8+O8+M8</f>
        <v>4365</v>
      </c>
    </row>
    <row r="9" spans="1:31" ht="8.25">
      <c r="A9" s="222" t="s">
        <v>464</v>
      </c>
      <c r="B9" s="568" t="s">
        <v>480</v>
      </c>
      <c r="C9" s="442">
        <v>15</v>
      </c>
      <c r="D9" s="442">
        <v>380</v>
      </c>
      <c r="E9" s="51">
        <v>0.002157894736842237</v>
      </c>
      <c r="F9" s="54">
        <f>(PI()*POWER(C9/(2*12),2))*(1.486/0.011)*(POWER(C9/(12*4),0.6666))*(SQRT(E9))</f>
        <v>3.5466487881541116</v>
      </c>
      <c r="G9" s="50">
        <v>2.82</v>
      </c>
      <c r="H9" s="568">
        <v>2006</v>
      </c>
      <c r="I9" s="576">
        <f t="shared" si="0"/>
        <v>4701</v>
      </c>
      <c r="J9" s="50">
        <f t="shared" si="1"/>
        <v>3.2697136532747275</v>
      </c>
      <c r="K9" s="50">
        <f t="shared" si="2"/>
        <v>2.378398551081355</v>
      </c>
      <c r="L9" s="107">
        <f aca="true" t="shared" si="11" ref="L9:L40">F9</f>
        <v>3.5466487881541116</v>
      </c>
      <c r="M9" s="443">
        <v>336</v>
      </c>
      <c r="N9" s="50">
        <f aca="true" t="shared" si="12" ref="N9:N40">M9*100*$J$11/(7.48*24*60*60)</f>
        <v>0.1699940253485078</v>
      </c>
      <c r="O9" s="565">
        <v>868</v>
      </c>
      <c r="P9" s="441">
        <f t="shared" si="3"/>
        <v>0.4391512321503118</v>
      </c>
      <c r="Q9" s="565">
        <v>0</v>
      </c>
      <c r="R9" s="441">
        <f t="shared" si="4"/>
        <v>0</v>
      </c>
      <c r="S9" s="565">
        <v>0</v>
      </c>
      <c r="T9" s="441">
        <f t="shared" si="5"/>
        <v>0</v>
      </c>
      <c r="U9" s="565">
        <v>0</v>
      </c>
      <c r="V9" s="441">
        <f t="shared" si="6"/>
        <v>0</v>
      </c>
      <c r="W9" s="173">
        <v>3497</v>
      </c>
      <c r="X9" s="441">
        <f t="shared" si="7"/>
        <v>1.7692532935825351</v>
      </c>
      <c r="Y9" s="565">
        <v>0</v>
      </c>
      <c r="Z9" s="441">
        <f t="shared" si="8"/>
        <v>0</v>
      </c>
      <c r="AA9" s="565">
        <v>0</v>
      </c>
      <c r="AB9" s="441">
        <f t="shared" si="9"/>
        <v>0</v>
      </c>
      <c r="AC9" s="565">
        <v>0</v>
      </c>
      <c r="AD9" s="441">
        <f t="shared" si="10"/>
        <v>0</v>
      </c>
      <c r="AE9" s="576">
        <f aca="true" t="shared" si="13" ref="AE9:AE72">AC9+AA9+Y9+W9+U9+S9+Q9+O9+M9</f>
        <v>4701</v>
      </c>
    </row>
    <row r="10" spans="1:31" ht="8.25" customHeight="1">
      <c r="A10" s="222" t="s">
        <v>464</v>
      </c>
      <c r="B10" s="568"/>
      <c r="C10" s="442">
        <v>15</v>
      </c>
      <c r="D10" s="442">
        <v>380</v>
      </c>
      <c r="E10" s="51">
        <v>0.00252631578947378</v>
      </c>
      <c r="F10" s="54">
        <f aca="true" t="shared" si="14" ref="F10:F73">(PI()*POWER(C10/(2*12),2))*(1.486/0.011)*(POWER(C10/(12*4),0.6666))*(SQRT(E10))</f>
        <v>3.837486620530287</v>
      </c>
      <c r="G10" s="50">
        <v>2.82</v>
      </c>
      <c r="H10" s="568">
        <v>2006</v>
      </c>
      <c r="I10" s="576">
        <f t="shared" si="0"/>
        <v>4701</v>
      </c>
      <c r="J10" s="50">
        <f t="shared" si="1"/>
        <v>3.2697136532747275</v>
      </c>
      <c r="K10" s="50">
        <f t="shared" si="2"/>
        <v>2.378398551081355</v>
      </c>
      <c r="L10" s="107">
        <f t="shared" si="11"/>
        <v>3.837486620530287</v>
      </c>
      <c r="M10" s="443">
        <v>336</v>
      </c>
      <c r="N10" s="50">
        <f t="shared" si="12"/>
        <v>0.1699940253485078</v>
      </c>
      <c r="O10" s="565">
        <v>868</v>
      </c>
      <c r="P10" s="441">
        <f t="shared" si="3"/>
        <v>0.4391512321503118</v>
      </c>
      <c r="Q10" s="565">
        <v>0</v>
      </c>
      <c r="R10" s="441">
        <f t="shared" si="4"/>
        <v>0</v>
      </c>
      <c r="S10" s="565">
        <v>0</v>
      </c>
      <c r="T10" s="441">
        <f t="shared" si="5"/>
        <v>0</v>
      </c>
      <c r="U10" s="565">
        <v>0</v>
      </c>
      <c r="V10" s="441">
        <f t="shared" si="6"/>
        <v>0</v>
      </c>
      <c r="W10" s="173">
        <v>3497</v>
      </c>
      <c r="X10" s="441">
        <f t="shared" si="7"/>
        <v>1.7692532935825351</v>
      </c>
      <c r="Y10" s="565">
        <v>0</v>
      </c>
      <c r="Z10" s="441">
        <f t="shared" si="8"/>
        <v>0</v>
      </c>
      <c r="AA10" s="565">
        <v>0</v>
      </c>
      <c r="AB10" s="441">
        <f t="shared" si="9"/>
        <v>0</v>
      </c>
      <c r="AC10" s="565">
        <v>0</v>
      </c>
      <c r="AD10" s="441">
        <f t="shared" si="10"/>
        <v>0</v>
      </c>
      <c r="AE10" s="576">
        <f t="shared" si="13"/>
        <v>4701</v>
      </c>
    </row>
    <row r="11" spans="1:31" ht="8.25">
      <c r="A11" s="222" t="s">
        <v>464</v>
      </c>
      <c r="B11" s="568"/>
      <c r="C11" s="442">
        <v>15</v>
      </c>
      <c r="D11" s="442">
        <v>272</v>
      </c>
      <c r="E11" s="51">
        <v>0.016654411764705782</v>
      </c>
      <c r="F11" s="54">
        <f t="shared" si="14"/>
        <v>9.852982356050932</v>
      </c>
      <c r="G11" s="50">
        <v>2.82</v>
      </c>
      <c r="H11" s="568">
        <v>2006</v>
      </c>
      <c r="I11" s="576">
        <f t="shared" si="0"/>
        <v>4701</v>
      </c>
      <c r="J11" s="50">
        <f t="shared" si="1"/>
        <v>3.2697136532747275</v>
      </c>
      <c r="K11" s="50">
        <f t="shared" si="2"/>
        <v>2.378398551081355</v>
      </c>
      <c r="L11" s="107">
        <f t="shared" si="11"/>
        <v>9.852982356050932</v>
      </c>
      <c r="M11" s="443">
        <v>336</v>
      </c>
      <c r="N11" s="50">
        <f t="shared" si="12"/>
        <v>0.1699940253485078</v>
      </c>
      <c r="O11" s="565">
        <v>868</v>
      </c>
      <c r="P11" s="441">
        <f t="shared" si="3"/>
        <v>0.4391512321503118</v>
      </c>
      <c r="Q11" s="565">
        <v>0</v>
      </c>
      <c r="R11" s="441">
        <f t="shared" si="4"/>
        <v>0</v>
      </c>
      <c r="S11" s="565">
        <v>0</v>
      </c>
      <c r="T11" s="441">
        <f t="shared" si="5"/>
        <v>0</v>
      </c>
      <c r="U11" s="565">
        <v>0</v>
      </c>
      <c r="V11" s="441">
        <f t="shared" si="6"/>
        <v>0</v>
      </c>
      <c r="W11" s="173">
        <v>3497</v>
      </c>
      <c r="X11" s="441">
        <f t="shared" si="7"/>
        <v>1.7692532935825351</v>
      </c>
      <c r="Y11" s="565">
        <v>0</v>
      </c>
      <c r="Z11" s="441">
        <f t="shared" si="8"/>
        <v>0</v>
      </c>
      <c r="AA11" s="565">
        <v>0</v>
      </c>
      <c r="AB11" s="441">
        <f t="shared" si="9"/>
        <v>0</v>
      </c>
      <c r="AC11" s="565">
        <v>0</v>
      </c>
      <c r="AD11" s="441">
        <f t="shared" si="10"/>
        <v>0</v>
      </c>
      <c r="AE11" s="576">
        <f t="shared" si="13"/>
        <v>4701</v>
      </c>
    </row>
    <row r="12" spans="1:31" ht="8.25">
      <c r="A12" s="222" t="s">
        <v>464</v>
      </c>
      <c r="B12" s="568" t="s">
        <v>481</v>
      </c>
      <c r="C12" s="442">
        <v>15</v>
      </c>
      <c r="D12" s="442">
        <v>390.5</v>
      </c>
      <c r="E12" s="444">
        <v>0.016440460947503097</v>
      </c>
      <c r="F12" s="54">
        <f t="shared" si="14"/>
        <v>9.789489637982895</v>
      </c>
      <c r="G12" s="50">
        <v>2.82</v>
      </c>
      <c r="H12" s="568">
        <v>2006</v>
      </c>
      <c r="I12" s="576">
        <f t="shared" si="0"/>
        <v>4701</v>
      </c>
      <c r="J12" s="50">
        <f t="shared" si="1"/>
        <v>3.2697136532747275</v>
      </c>
      <c r="K12" s="50">
        <f t="shared" si="2"/>
        <v>2.378398551081355</v>
      </c>
      <c r="L12" s="107">
        <f t="shared" si="11"/>
        <v>9.789489637982895</v>
      </c>
      <c r="M12" s="443">
        <v>336</v>
      </c>
      <c r="N12" s="50">
        <f t="shared" si="12"/>
        <v>0.1699940253485078</v>
      </c>
      <c r="O12" s="565">
        <v>868</v>
      </c>
      <c r="P12" s="441">
        <f t="shared" si="3"/>
        <v>0.4391512321503118</v>
      </c>
      <c r="Q12" s="565">
        <v>0</v>
      </c>
      <c r="R12" s="441">
        <f t="shared" si="4"/>
        <v>0</v>
      </c>
      <c r="S12" s="565">
        <v>0</v>
      </c>
      <c r="T12" s="441">
        <f t="shared" si="5"/>
        <v>0</v>
      </c>
      <c r="U12" s="565">
        <v>0</v>
      </c>
      <c r="V12" s="441">
        <f t="shared" si="6"/>
        <v>0</v>
      </c>
      <c r="W12" s="173">
        <v>3497</v>
      </c>
      <c r="X12" s="441">
        <f t="shared" si="7"/>
        <v>1.7692532935825351</v>
      </c>
      <c r="Y12" s="565">
        <v>0</v>
      </c>
      <c r="Z12" s="441">
        <f t="shared" si="8"/>
        <v>0</v>
      </c>
      <c r="AA12" s="565">
        <v>0</v>
      </c>
      <c r="AB12" s="441">
        <f t="shared" si="9"/>
        <v>0</v>
      </c>
      <c r="AC12" s="565">
        <v>0</v>
      </c>
      <c r="AD12" s="441">
        <f t="shared" si="10"/>
        <v>0</v>
      </c>
      <c r="AE12" s="576">
        <f t="shared" si="13"/>
        <v>4701</v>
      </c>
    </row>
    <row r="13" spans="1:31" ht="8.25">
      <c r="A13" s="222" t="s">
        <v>260</v>
      </c>
      <c r="B13" s="568"/>
      <c r="C13" s="442">
        <v>15</v>
      </c>
      <c r="D13" s="442">
        <v>254</v>
      </c>
      <c r="E13" s="51">
        <v>0.015984251968503723</v>
      </c>
      <c r="F13" s="54">
        <f t="shared" si="14"/>
        <v>9.652709019062609</v>
      </c>
      <c r="G13" s="50">
        <v>2.82</v>
      </c>
      <c r="H13" s="568">
        <v>2006</v>
      </c>
      <c r="I13" s="576">
        <f t="shared" si="0"/>
        <v>4701</v>
      </c>
      <c r="J13" s="50">
        <f t="shared" si="1"/>
        <v>3.2697136532747275</v>
      </c>
      <c r="K13" s="50">
        <f t="shared" si="2"/>
        <v>2.378398551081355</v>
      </c>
      <c r="L13" s="107">
        <f t="shared" si="11"/>
        <v>9.652709019062609</v>
      </c>
      <c r="M13" s="443">
        <v>336</v>
      </c>
      <c r="N13" s="50">
        <f t="shared" si="12"/>
        <v>0.1699940253485078</v>
      </c>
      <c r="O13" s="565">
        <v>868</v>
      </c>
      <c r="P13" s="441">
        <f t="shared" si="3"/>
        <v>0.4391512321503118</v>
      </c>
      <c r="Q13" s="565">
        <v>0</v>
      </c>
      <c r="R13" s="441">
        <f t="shared" si="4"/>
        <v>0</v>
      </c>
      <c r="S13" s="565">
        <v>0</v>
      </c>
      <c r="T13" s="441">
        <f t="shared" si="5"/>
        <v>0</v>
      </c>
      <c r="U13" s="565">
        <v>0</v>
      </c>
      <c r="V13" s="441">
        <f t="shared" si="6"/>
        <v>0</v>
      </c>
      <c r="W13" s="173">
        <v>3497</v>
      </c>
      <c r="X13" s="441">
        <f t="shared" si="7"/>
        <v>1.7692532935825351</v>
      </c>
      <c r="Y13" s="565">
        <v>0</v>
      </c>
      <c r="Z13" s="441">
        <f t="shared" si="8"/>
        <v>0</v>
      </c>
      <c r="AA13" s="565">
        <v>0</v>
      </c>
      <c r="AB13" s="441">
        <f t="shared" si="9"/>
        <v>0</v>
      </c>
      <c r="AC13" s="565">
        <v>0</v>
      </c>
      <c r="AD13" s="441">
        <f t="shared" si="10"/>
        <v>0</v>
      </c>
      <c r="AE13" s="576">
        <f t="shared" si="13"/>
        <v>4701</v>
      </c>
    </row>
    <row r="14" spans="1:31" ht="8.25">
      <c r="A14" s="222" t="s">
        <v>260</v>
      </c>
      <c r="B14" s="568"/>
      <c r="C14" s="442">
        <v>15</v>
      </c>
      <c r="D14" s="442">
        <v>310</v>
      </c>
      <c r="E14" s="51">
        <v>0.007290322580645132</v>
      </c>
      <c r="F14" s="54">
        <f t="shared" si="14"/>
        <v>6.518931668075572</v>
      </c>
      <c r="G14" s="50">
        <v>2.82</v>
      </c>
      <c r="H14" s="568">
        <v>2006</v>
      </c>
      <c r="I14" s="576">
        <f t="shared" si="0"/>
        <v>4701</v>
      </c>
      <c r="J14" s="50">
        <f t="shared" si="1"/>
        <v>3.2697136532747275</v>
      </c>
      <c r="K14" s="50">
        <f t="shared" si="2"/>
        <v>2.378398551081355</v>
      </c>
      <c r="L14" s="107">
        <f t="shared" si="11"/>
        <v>6.518931668075572</v>
      </c>
      <c r="M14" s="443">
        <v>336</v>
      </c>
      <c r="N14" s="50">
        <f t="shared" si="12"/>
        <v>0.1699940253485078</v>
      </c>
      <c r="O14" s="565">
        <v>868</v>
      </c>
      <c r="P14" s="441">
        <f t="shared" si="3"/>
        <v>0.4391512321503118</v>
      </c>
      <c r="Q14" s="565">
        <v>0</v>
      </c>
      <c r="R14" s="441">
        <f t="shared" si="4"/>
        <v>0</v>
      </c>
      <c r="S14" s="565">
        <v>0</v>
      </c>
      <c r="T14" s="441">
        <f t="shared" si="5"/>
        <v>0</v>
      </c>
      <c r="U14" s="565">
        <v>0</v>
      </c>
      <c r="V14" s="441">
        <f t="shared" si="6"/>
        <v>0</v>
      </c>
      <c r="W14" s="173">
        <v>3497</v>
      </c>
      <c r="X14" s="441">
        <f t="shared" si="7"/>
        <v>1.7692532935825351</v>
      </c>
      <c r="Y14" s="565">
        <v>0</v>
      </c>
      <c r="Z14" s="441">
        <f t="shared" si="8"/>
        <v>0</v>
      </c>
      <c r="AA14" s="565">
        <v>0</v>
      </c>
      <c r="AB14" s="441">
        <f t="shared" si="9"/>
        <v>0</v>
      </c>
      <c r="AC14" s="565">
        <v>0</v>
      </c>
      <c r="AD14" s="441">
        <f t="shared" si="10"/>
        <v>0</v>
      </c>
      <c r="AE14" s="576">
        <f t="shared" si="13"/>
        <v>4701</v>
      </c>
    </row>
    <row r="15" spans="1:31" ht="8.25">
      <c r="A15" s="222" t="s">
        <v>260</v>
      </c>
      <c r="B15" s="568" t="s">
        <v>482</v>
      </c>
      <c r="C15" s="442">
        <v>15</v>
      </c>
      <c r="D15" s="445">
        <v>254</v>
      </c>
      <c r="E15" s="51">
        <v>0.022480314960629615</v>
      </c>
      <c r="F15" s="54">
        <f t="shared" si="14"/>
        <v>11.44733129710452</v>
      </c>
      <c r="G15" s="50">
        <v>2.82</v>
      </c>
      <c r="H15" s="568">
        <v>2006</v>
      </c>
      <c r="I15" s="576">
        <f t="shared" si="0"/>
        <v>4701</v>
      </c>
      <c r="J15" s="50">
        <f t="shared" si="1"/>
        <v>3.2697136532747275</v>
      </c>
      <c r="K15" s="50">
        <f t="shared" si="2"/>
        <v>2.378398551081355</v>
      </c>
      <c r="L15" s="107">
        <f t="shared" si="11"/>
        <v>11.44733129710452</v>
      </c>
      <c r="M15" s="443">
        <v>336</v>
      </c>
      <c r="N15" s="50">
        <f t="shared" si="12"/>
        <v>0.1699940253485078</v>
      </c>
      <c r="O15" s="565">
        <v>868</v>
      </c>
      <c r="P15" s="441">
        <f t="shared" si="3"/>
        <v>0.4391512321503118</v>
      </c>
      <c r="Q15" s="565">
        <v>0</v>
      </c>
      <c r="R15" s="441">
        <f t="shared" si="4"/>
        <v>0</v>
      </c>
      <c r="S15" s="565">
        <v>0</v>
      </c>
      <c r="T15" s="441">
        <f t="shared" si="5"/>
        <v>0</v>
      </c>
      <c r="U15" s="565">
        <v>0</v>
      </c>
      <c r="V15" s="441">
        <f t="shared" si="6"/>
        <v>0</v>
      </c>
      <c r="W15" s="173">
        <v>3497</v>
      </c>
      <c r="X15" s="441">
        <f t="shared" si="7"/>
        <v>1.7692532935825351</v>
      </c>
      <c r="Y15" s="565">
        <v>0</v>
      </c>
      <c r="Z15" s="441">
        <f t="shared" si="8"/>
        <v>0</v>
      </c>
      <c r="AA15" s="565">
        <v>0</v>
      </c>
      <c r="AB15" s="441">
        <f t="shared" si="9"/>
        <v>0</v>
      </c>
      <c r="AC15" s="565">
        <v>0</v>
      </c>
      <c r="AD15" s="441">
        <f t="shared" si="10"/>
        <v>0</v>
      </c>
      <c r="AE15" s="576">
        <f t="shared" si="13"/>
        <v>4701</v>
      </c>
    </row>
    <row r="16" spans="1:31" ht="8.25">
      <c r="A16" s="222" t="s">
        <v>260</v>
      </c>
      <c r="B16" s="568" t="s">
        <v>485</v>
      </c>
      <c r="C16" s="442">
        <v>15</v>
      </c>
      <c r="D16" s="442">
        <v>350</v>
      </c>
      <c r="E16" s="51">
        <v>0.002199999999999948</v>
      </c>
      <c r="F16" s="54">
        <f t="shared" si="14"/>
        <v>3.5810830790734847</v>
      </c>
      <c r="G16" s="50">
        <v>2.82</v>
      </c>
      <c r="H16" s="568">
        <v>2006</v>
      </c>
      <c r="I16" s="576">
        <f t="shared" si="0"/>
        <v>4701</v>
      </c>
      <c r="J16" s="50">
        <f t="shared" si="1"/>
        <v>3.2697136532747275</v>
      </c>
      <c r="K16" s="50">
        <f t="shared" si="2"/>
        <v>2.378398551081355</v>
      </c>
      <c r="L16" s="107">
        <f t="shared" si="11"/>
        <v>3.5810830790734847</v>
      </c>
      <c r="M16" s="443">
        <v>336</v>
      </c>
      <c r="N16" s="50">
        <f t="shared" si="12"/>
        <v>0.1699940253485078</v>
      </c>
      <c r="O16" s="565">
        <v>868</v>
      </c>
      <c r="P16" s="441">
        <f t="shared" si="3"/>
        <v>0.4391512321503118</v>
      </c>
      <c r="Q16" s="565">
        <v>0</v>
      </c>
      <c r="R16" s="441">
        <f t="shared" si="4"/>
        <v>0</v>
      </c>
      <c r="S16" s="565">
        <v>0</v>
      </c>
      <c r="T16" s="441">
        <f t="shared" si="5"/>
        <v>0</v>
      </c>
      <c r="U16" s="565">
        <v>0</v>
      </c>
      <c r="V16" s="441">
        <f t="shared" si="6"/>
        <v>0</v>
      </c>
      <c r="W16" s="173">
        <v>3497</v>
      </c>
      <c r="X16" s="441">
        <f t="shared" si="7"/>
        <v>1.7692532935825351</v>
      </c>
      <c r="Y16" s="565">
        <v>0</v>
      </c>
      <c r="Z16" s="441">
        <f t="shared" si="8"/>
        <v>0</v>
      </c>
      <c r="AA16" s="565">
        <v>0</v>
      </c>
      <c r="AB16" s="441">
        <f t="shared" si="9"/>
        <v>0</v>
      </c>
      <c r="AC16" s="565">
        <v>0</v>
      </c>
      <c r="AD16" s="441">
        <f t="shared" si="10"/>
        <v>0</v>
      </c>
      <c r="AE16" s="576">
        <f t="shared" si="13"/>
        <v>4701</v>
      </c>
    </row>
    <row r="17" spans="1:31" ht="8.25">
      <c r="A17" s="222" t="s">
        <v>260</v>
      </c>
      <c r="B17" s="568"/>
      <c r="C17" s="442">
        <v>15</v>
      </c>
      <c r="D17" s="446">
        <v>338.5</v>
      </c>
      <c r="E17" s="51">
        <v>0.0022156573116691287</v>
      </c>
      <c r="F17" s="54">
        <f t="shared" si="14"/>
        <v>3.593803698412119</v>
      </c>
      <c r="G17" s="50">
        <v>2.82</v>
      </c>
      <c r="H17" s="568">
        <v>2006</v>
      </c>
      <c r="I17" s="576">
        <f t="shared" si="0"/>
        <v>4701</v>
      </c>
      <c r="J17" s="50">
        <f t="shared" si="1"/>
        <v>3.2697136532747275</v>
      </c>
      <c r="K17" s="50">
        <f t="shared" si="2"/>
        <v>2.378398551081355</v>
      </c>
      <c r="L17" s="107">
        <f t="shared" si="11"/>
        <v>3.593803698412119</v>
      </c>
      <c r="M17" s="443">
        <v>336</v>
      </c>
      <c r="N17" s="50">
        <f t="shared" si="12"/>
        <v>0.1699940253485078</v>
      </c>
      <c r="O17" s="565">
        <v>868</v>
      </c>
      <c r="P17" s="441">
        <f t="shared" si="3"/>
        <v>0.4391512321503118</v>
      </c>
      <c r="Q17" s="565">
        <v>0</v>
      </c>
      <c r="R17" s="441">
        <f t="shared" si="4"/>
        <v>0</v>
      </c>
      <c r="S17" s="565">
        <v>0</v>
      </c>
      <c r="T17" s="441">
        <f t="shared" si="5"/>
        <v>0</v>
      </c>
      <c r="U17" s="565">
        <v>0</v>
      </c>
      <c r="V17" s="441">
        <f t="shared" si="6"/>
        <v>0</v>
      </c>
      <c r="W17" s="173">
        <v>3497</v>
      </c>
      <c r="X17" s="441">
        <f t="shared" si="7"/>
        <v>1.7692532935825351</v>
      </c>
      <c r="Y17" s="565">
        <v>0</v>
      </c>
      <c r="Z17" s="441">
        <f t="shared" si="8"/>
        <v>0</v>
      </c>
      <c r="AA17" s="565">
        <v>0</v>
      </c>
      <c r="AB17" s="441">
        <f t="shared" si="9"/>
        <v>0</v>
      </c>
      <c r="AC17" s="565">
        <v>0</v>
      </c>
      <c r="AD17" s="441">
        <f t="shared" si="10"/>
        <v>0</v>
      </c>
      <c r="AE17" s="576">
        <f t="shared" si="13"/>
        <v>4701</v>
      </c>
    </row>
    <row r="18" spans="1:31" ht="8.25">
      <c r="A18" s="222" t="s">
        <v>260</v>
      </c>
      <c r="B18" s="568"/>
      <c r="C18" s="442">
        <v>15</v>
      </c>
      <c r="D18" s="446">
        <v>105</v>
      </c>
      <c r="E18" s="51">
        <v>0.0024761904761903897</v>
      </c>
      <c r="F18" s="54">
        <f t="shared" si="14"/>
        <v>3.7992255789825053</v>
      </c>
      <c r="G18" s="50">
        <v>2.82</v>
      </c>
      <c r="H18" s="568">
        <v>2006</v>
      </c>
      <c r="I18" s="576">
        <f t="shared" si="0"/>
        <v>4701</v>
      </c>
      <c r="J18" s="50">
        <f t="shared" si="1"/>
        <v>3.2697136532747275</v>
      </c>
      <c r="K18" s="50">
        <f t="shared" si="2"/>
        <v>2.378398551081355</v>
      </c>
      <c r="L18" s="107">
        <f t="shared" si="11"/>
        <v>3.7992255789825053</v>
      </c>
      <c r="M18" s="443">
        <v>336</v>
      </c>
      <c r="N18" s="50">
        <f t="shared" si="12"/>
        <v>0.1699940253485078</v>
      </c>
      <c r="O18" s="565">
        <v>868</v>
      </c>
      <c r="P18" s="441">
        <f t="shared" si="3"/>
        <v>0.4391512321503118</v>
      </c>
      <c r="Q18" s="565">
        <v>0</v>
      </c>
      <c r="R18" s="441">
        <f t="shared" si="4"/>
        <v>0</v>
      </c>
      <c r="S18" s="565">
        <v>0</v>
      </c>
      <c r="T18" s="441">
        <f t="shared" si="5"/>
        <v>0</v>
      </c>
      <c r="U18" s="565">
        <v>0</v>
      </c>
      <c r="V18" s="441">
        <f t="shared" si="6"/>
        <v>0</v>
      </c>
      <c r="W18" s="173">
        <v>3497</v>
      </c>
      <c r="X18" s="441">
        <f t="shared" si="7"/>
        <v>1.7692532935825351</v>
      </c>
      <c r="Y18" s="565">
        <v>0</v>
      </c>
      <c r="Z18" s="441">
        <f t="shared" si="8"/>
        <v>0</v>
      </c>
      <c r="AA18" s="565">
        <v>0</v>
      </c>
      <c r="AB18" s="441">
        <f t="shared" si="9"/>
        <v>0</v>
      </c>
      <c r="AC18" s="565">
        <v>0</v>
      </c>
      <c r="AD18" s="441">
        <f t="shared" si="10"/>
        <v>0</v>
      </c>
      <c r="AE18" s="576">
        <f t="shared" si="13"/>
        <v>4701</v>
      </c>
    </row>
    <row r="19" spans="1:31" ht="8.25">
      <c r="A19" s="222" t="s">
        <v>260</v>
      </c>
      <c r="B19" s="568"/>
      <c r="C19" s="442">
        <v>15</v>
      </c>
      <c r="D19" s="446">
        <v>275</v>
      </c>
      <c r="E19" s="51">
        <v>0.0021454545454546612</v>
      </c>
      <c r="F19" s="54">
        <f t="shared" si="14"/>
        <v>3.5364108553389233</v>
      </c>
      <c r="G19" s="50">
        <v>2.82</v>
      </c>
      <c r="H19" s="568">
        <v>2006</v>
      </c>
      <c r="I19" s="576">
        <f t="shared" si="0"/>
        <v>4701</v>
      </c>
      <c r="J19" s="50">
        <f t="shared" si="1"/>
        <v>3.2697136532747275</v>
      </c>
      <c r="K19" s="50">
        <f t="shared" si="2"/>
        <v>2.378398551081355</v>
      </c>
      <c r="L19" s="107">
        <f t="shared" si="11"/>
        <v>3.5364108553389233</v>
      </c>
      <c r="M19" s="443">
        <v>336</v>
      </c>
      <c r="N19" s="50">
        <f t="shared" si="12"/>
        <v>0.1699940253485078</v>
      </c>
      <c r="O19" s="565">
        <v>868</v>
      </c>
      <c r="P19" s="441">
        <f t="shared" si="3"/>
        <v>0.4391512321503118</v>
      </c>
      <c r="Q19" s="565">
        <v>0</v>
      </c>
      <c r="R19" s="441">
        <f t="shared" si="4"/>
        <v>0</v>
      </c>
      <c r="S19" s="565">
        <v>0</v>
      </c>
      <c r="T19" s="441">
        <f t="shared" si="5"/>
        <v>0</v>
      </c>
      <c r="U19" s="565">
        <v>0</v>
      </c>
      <c r="V19" s="441">
        <f t="shared" si="6"/>
        <v>0</v>
      </c>
      <c r="W19" s="173">
        <v>3497</v>
      </c>
      <c r="X19" s="441">
        <f t="shared" si="7"/>
        <v>1.7692532935825351</v>
      </c>
      <c r="Y19" s="565">
        <v>0</v>
      </c>
      <c r="Z19" s="441">
        <f t="shared" si="8"/>
        <v>0</v>
      </c>
      <c r="AA19" s="565">
        <v>0</v>
      </c>
      <c r="AB19" s="441">
        <f t="shared" si="9"/>
        <v>0</v>
      </c>
      <c r="AC19" s="565">
        <v>0</v>
      </c>
      <c r="AD19" s="441">
        <f t="shared" si="10"/>
        <v>0</v>
      </c>
      <c r="AE19" s="576">
        <f t="shared" si="13"/>
        <v>4701</v>
      </c>
    </row>
    <row r="20" spans="1:31" ht="8.25">
      <c r="A20" s="222" t="s">
        <v>260</v>
      </c>
      <c r="B20" s="568"/>
      <c r="C20" s="446">
        <v>18</v>
      </c>
      <c r="D20" s="446">
        <v>365</v>
      </c>
      <c r="E20" s="51">
        <v>0.0012054794520546326</v>
      </c>
      <c r="F20" s="54">
        <f t="shared" si="14"/>
        <v>4.3105002322216635</v>
      </c>
      <c r="G20" s="50">
        <v>2.82</v>
      </c>
      <c r="H20" s="568">
        <v>2006</v>
      </c>
      <c r="I20" s="576">
        <f t="shared" si="0"/>
        <v>4701</v>
      </c>
      <c r="J20" s="50">
        <f t="shared" si="1"/>
        <v>3.2697136532747275</v>
      </c>
      <c r="K20" s="50">
        <f t="shared" si="2"/>
        <v>2.378398551081355</v>
      </c>
      <c r="L20" s="107">
        <f t="shared" si="11"/>
        <v>4.3105002322216635</v>
      </c>
      <c r="M20" s="443">
        <v>336</v>
      </c>
      <c r="N20" s="50">
        <f t="shared" si="12"/>
        <v>0.1699940253485078</v>
      </c>
      <c r="O20" s="565">
        <v>868</v>
      </c>
      <c r="P20" s="441">
        <f t="shared" si="3"/>
        <v>0.4391512321503118</v>
      </c>
      <c r="Q20" s="565">
        <v>0</v>
      </c>
      <c r="R20" s="441">
        <f t="shared" si="4"/>
        <v>0</v>
      </c>
      <c r="S20" s="565">
        <v>0</v>
      </c>
      <c r="T20" s="441">
        <f t="shared" si="5"/>
        <v>0</v>
      </c>
      <c r="U20" s="565">
        <v>0</v>
      </c>
      <c r="V20" s="441">
        <f t="shared" si="6"/>
        <v>0</v>
      </c>
      <c r="W20" s="173">
        <v>3497</v>
      </c>
      <c r="X20" s="441">
        <f t="shared" si="7"/>
        <v>1.7692532935825351</v>
      </c>
      <c r="Y20" s="565">
        <v>0</v>
      </c>
      <c r="Z20" s="441">
        <f t="shared" si="8"/>
        <v>0</v>
      </c>
      <c r="AA20" s="565">
        <v>0</v>
      </c>
      <c r="AB20" s="441">
        <f t="shared" si="9"/>
        <v>0</v>
      </c>
      <c r="AC20" s="565">
        <v>0</v>
      </c>
      <c r="AD20" s="441">
        <f t="shared" si="10"/>
        <v>0</v>
      </c>
      <c r="AE20" s="576">
        <f t="shared" si="13"/>
        <v>4701</v>
      </c>
    </row>
    <row r="21" spans="1:31" ht="8.25">
      <c r="A21" s="222" t="s">
        <v>260</v>
      </c>
      <c r="B21" s="568"/>
      <c r="C21" s="446">
        <v>18</v>
      </c>
      <c r="D21" s="446">
        <v>120</v>
      </c>
      <c r="E21" s="51">
        <v>0.0012499999999998105</v>
      </c>
      <c r="F21" s="54">
        <f t="shared" si="14"/>
        <v>4.3893758849084845</v>
      </c>
      <c r="G21" s="50">
        <v>2.82</v>
      </c>
      <c r="H21" s="568">
        <v>2006</v>
      </c>
      <c r="I21" s="576">
        <f t="shared" si="0"/>
        <v>4904</v>
      </c>
      <c r="J21" s="50">
        <f t="shared" si="1"/>
        <v>3.2527967195482375</v>
      </c>
      <c r="K21" s="50">
        <f t="shared" si="2"/>
        <v>2.468266474899819</v>
      </c>
      <c r="L21" s="107">
        <f t="shared" si="11"/>
        <v>4.3893758849084845</v>
      </c>
      <c r="M21" s="416">
        <f>M20+203</f>
        <v>539</v>
      </c>
      <c r="N21" s="50">
        <f t="shared" si="12"/>
        <v>0.27269874899656465</v>
      </c>
      <c r="O21" s="565">
        <v>868</v>
      </c>
      <c r="P21" s="441">
        <f t="shared" si="3"/>
        <v>0.4391512321503118</v>
      </c>
      <c r="Q21" s="565">
        <v>0</v>
      </c>
      <c r="R21" s="441">
        <f t="shared" si="4"/>
        <v>0</v>
      </c>
      <c r="S21" s="565">
        <v>0</v>
      </c>
      <c r="T21" s="441">
        <f t="shared" si="5"/>
        <v>0</v>
      </c>
      <c r="U21" s="565">
        <v>0</v>
      </c>
      <c r="V21" s="441">
        <f t="shared" si="6"/>
        <v>0</v>
      </c>
      <c r="W21" s="173">
        <v>3497</v>
      </c>
      <c r="X21" s="441">
        <f t="shared" si="7"/>
        <v>1.7692532935825351</v>
      </c>
      <c r="Y21" s="565">
        <v>0</v>
      </c>
      <c r="Z21" s="441">
        <f t="shared" si="8"/>
        <v>0</v>
      </c>
      <c r="AA21" s="565">
        <v>0</v>
      </c>
      <c r="AB21" s="441">
        <f t="shared" si="9"/>
        <v>0</v>
      </c>
      <c r="AC21" s="565">
        <v>0</v>
      </c>
      <c r="AD21" s="441">
        <f t="shared" si="10"/>
        <v>0</v>
      </c>
      <c r="AE21" s="576">
        <f t="shared" si="13"/>
        <v>4904</v>
      </c>
    </row>
    <row r="22" spans="1:31" ht="8.25">
      <c r="A22" s="222" t="s">
        <v>260</v>
      </c>
      <c r="B22" s="568"/>
      <c r="C22" s="446">
        <v>18</v>
      </c>
      <c r="D22" s="446">
        <v>246</v>
      </c>
      <c r="E22" s="51">
        <v>0.0012195121951222286</v>
      </c>
      <c r="F22" s="54">
        <f t="shared" si="14"/>
        <v>4.335516472344915</v>
      </c>
      <c r="G22" s="50">
        <v>2.82</v>
      </c>
      <c r="H22" s="568">
        <v>2006</v>
      </c>
      <c r="I22" s="576">
        <f t="shared" si="0"/>
        <v>4904</v>
      </c>
      <c r="J22" s="50">
        <f t="shared" si="1"/>
        <v>3.2527967195482375</v>
      </c>
      <c r="K22" s="50">
        <f t="shared" si="2"/>
        <v>2.468266474899819</v>
      </c>
      <c r="L22" s="107">
        <f t="shared" si="11"/>
        <v>4.335516472344915</v>
      </c>
      <c r="M22" s="416">
        <v>539</v>
      </c>
      <c r="N22" s="50">
        <f t="shared" si="12"/>
        <v>0.27269874899656465</v>
      </c>
      <c r="O22" s="565">
        <v>868</v>
      </c>
      <c r="P22" s="441">
        <f t="shared" si="3"/>
        <v>0.4391512321503118</v>
      </c>
      <c r="Q22" s="565">
        <v>0</v>
      </c>
      <c r="R22" s="441">
        <f t="shared" si="4"/>
        <v>0</v>
      </c>
      <c r="S22" s="565">
        <v>0</v>
      </c>
      <c r="T22" s="441">
        <f t="shared" si="5"/>
        <v>0</v>
      </c>
      <c r="U22" s="565">
        <v>0</v>
      </c>
      <c r="V22" s="441">
        <f t="shared" si="6"/>
        <v>0</v>
      </c>
      <c r="W22" s="173">
        <v>3497</v>
      </c>
      <c r="X22" s="441">
        <f t="shared" si="7"/>
        <v>1.7692532935825351</v>
      </c>
      <c r="Y22" s="565">
        <v>0</v>
      </c>
      <c r="Z22" s="441">
        <f t="shared" si="8"/>
        <v>0</v>
      </c>
      <c r="AA22" s="565">
        <v>0</v>
      </c>
      <c r="AB22" s="441">
        <f t="shared" si="9"/>
        <v>0</v>
      </c>
      <c r="AC22" s="565">
        <v>0</v>
      </c>
      <c r="AD22" s="441">
        <f t="shared" si="10"/>
        <v>0</v>
      </c>
      <c r="AE22" s="576">
        <f t="shared" si="13"/>
        <v>4904</v>
      </c>
    </row>
    <row r="23" spans="1:31" ht="8.25">
      <c r="A23" s="222" t="s">
        <v>260</v>
      </c>
      <c r="B23" s="568"/>
      <c r="C23" s="446">
        <v>18</v>
      </c>
      <c r="D23" s="446">
        <v>400</v>
      </c>
      <c r="E23" s="51">
        <v>0.0012749999999999773</v>
      </c>
      <c r="F23" s="54">
        <f t="shared" si="14"/>
        <v>4.433052342596363</v>
      </c>
      <c r="G23" s="50">
        <v>2.82</v>
      </c>
      <c r="H23" s="568">
        <v>2006</v>
      </c>
      <c r="I23" s="576">
        <f t="shared" si="0"/>
        <v>4904</v>
      </c>
      <c r="J23" s="50">
        <f t="shared" si="1"/>
        <v>3.2527967195482375</v>
      </c>
      <c r="K23" s="50">
        <f t="shared" si="2"/>
        <v>2.468266474899819</v>
      </c>
      <c r="L23" s="107">
        <f t="shared" si="11"/>
        <v>4.433052342596363</v>
      </c>
      <c r="M23" s="416">
        <v>539</v>
      </c>
      <c r="N23" s="50">
        <f t="shared" si="12"/>
        <v>0.27269874899656465</v>
      </c>
      <c r="O23" s="565">
        <v>868</v>
      </c>
      <c r="P23" s="441">
        <f t="shared" si="3"/>
        <v>0.4391512321503118</v>
      </c>
      <c r="Q23" s="565">
        <v>0</v>
      </c>
      <c r="R23" s="441">
        <f t="shared" si="4"/>
        <v>0</v>
      </c>
      <c r="S23" s="565">
        <v>0</v>
      </c>
      <c r="T23" s="441">
        <f t="shared" si="5"/>
        <v>0</v>
      </c>
      <c r="U23" s="565">
        <v>0</v>
      </c>
      <c r="V23" s="441">
        <f t="shared" si="6"/>
        <v>0</v>
      </c>
      <c r="W23" s="173">
        <v>3497</v>
      </c>
      <c r="X23" s="441">
        <f t="shared" si="7"/>
        <v>1.7692532935825351</v>
      </c>
      <c r="Y23" s="565">
        <v>0</v>
      </c>
      <c r="Z23" s="441">
        <f t="shared" si="8"/>
        <v>0</v>
      </c>
      <c r="AA23" s="565">
        <v>0</v>
      </c>
      <c r="AB23" s="441">
        <f t="shared" si="9"/>
        <v>0</v>
      </c>
      <c r="AC23" s="565">
        <v>0</v>
      </c>
      <c r="AD23" s="441">
        <f t="shared" si="10"/>
        <v>0</v>
      </c>
      <c r="AE23" s="576">
        <f t="shared" si="13"/>
        <v>4904</v>
      </c>
    </row>
    <row r="24" spans="1:31" ht="8.25" customHeight="1">
      <c r="A24" s="222" t="s">
        <v>260</v>
      </c>
      <c r="B24" s="568"/>
      <c r="C24" s="446">
        <v>18</v>
      </c>
      <c r="D24" s="446">
        <v>372</v>
      </c>
      <c r="E24" s="51">
        <v>0.0012903225806452103</v>
      </c>
      <c r="F24" s="54">
        <f t="shared" si="14"/>
        <v>4.459610358680032</v>
      </c>
      <c r="G24" s="50">
        <v>2.82</v>
      </c>
      <c r="H24" s="568">
        <v>2005</v>
      </c>
      <c r="I24" s="576">
        <f t="shared" si="0"/>
        <v>4904</v>
      </c>
      <c r="J24" s="50">
        <f t="shared" si="1"/>
        <v>3.2527967195482375</v>
      </c>
      <c r="K24" s="50">
        <f t="shared" si="2"/>
        <v>2.468266474899819</v>
      </c>
      <c r="L24" s="107">
        <f t="shared" si="11"/>
        <v>4.459610358680032</v>
      </c>
      <c r="M24" s="416">
        <v>539</v>
      </c>
      <c r="N24" s="50">
        <f t="shared" si="12"/>
        <v>0.27269874899656465</v>
      </c>
      <c r="O24" s="565">
        <v>868</v>
      </c>
      <c r="P24" s="441">
        <f t="shared" si="3"/>
        <v>0.4391512321503118</v>
      </c>
      <c r="Q24" s="565">
        <v>0</v>
      </c>
      <c r="R24" s="441">
        <f t="shared" si="4"/>
        <v>0</v>
      </c>
      <c r="S24" s="565">
        <v>0</v>
      </c>
      <c r="T24" s="441">
        <f t="shared" si="5"/>
        <v>0</v>
      </c>
      <c r="U24" s="565">
        <v>0</v>
      </c>
      <c r="V24" s="441">
        <f t="shared" si="6"/>
        <v>0</v>
      </c>
      <c r="W24" s="173">
        <v>3497</v>
      </c>
      <c r="X24" s="441">
        <f t="shared" si="7"/>
        <v>1.7692532935825351</v>
      </c>
      <c r="Y24" s="565">
        <v>0</v>
      </c>
      <c r="Z24" s="441">
        <f t="shared" si="8"/>
        <v>0</v>
      </c>
      <c r="AA24" s="565">
        <v>0</v>
      </c>
      <c r="AB24" s="441">
        <f t="shared" si="9"/>
        <v>0</v>
      </c>
      <c r="AC24" s="565">
        <v>0</v>
      </c>
      <c r="AD24" s="441">
        <f t="shared" si="10"/>
        <v>0</v>
      </c>
      <c r="AE24" s="576">
        <f t="shared" si="13"/>
        <v>4904</v>
      </c>
    </row>
    <row r="25" spans="1:31" ht="8.25">
      <c r="A25" s="222" t="s">
        <v>260</v>
      </c>
      <c r="B25" s="568"/>
      <c r="C25" s="446">
        <v>18</v>
      </c>
      <c r="D25" s="446">
        <v>206</v>
      </c>
      <c r="E25" s="51">
        <v>0.001504854368931774</v>
      </c>
      <c r="F25" s="54">
        <f t="shared" si="14"/>
        <v>4.816094540041839</v>
      </c>
      <c r="G25" s="50">
        <v>2.82</v>
      </c>
      <c r="H25" s="568">
        <v>2005</v>
      </c>
      <c r="I25" s="576">
        <f t="shared" si="0"/>
        <v>4904</v>
      </c>
      <c r="J25" s="50">
        <f t="shared" si="1"/>
        <v>3.2527967195482375</v>
      </c>
      <c r="K25" s="50">
        <f t="shared" si="2"/>
        <v>2.468266474899819</v>
      </c>
      <c r="L25" s="107">
        <f t="shared" si="11"/>
        <v>4.816094540041839</v>
      </c>
      <c r="M25" s="416">
        <v>539</v>
      </c>
      <c r="N25" s="50">
        <f t="shared" si="12"/>
        <v>0.27269874899656465</v>
      </c>
      <c r="O25" s="565">
        <v>868</v>
      </c>
      <c r="P25" s="441">
        <f t="shared" si="3"/>
        <v>0.4391512321503118</v>
      </c>
      <c r="Q25" s="565">
        <v>0</v>
      </c>
      <c r="R25" s="441">
        <f t="shared" si="4"/>
        <v>0</v>
      </c>
      <c r="S25" s="565">
        <v>0</v>
      </c>
      <c r="T25" s="441">
        <f t="shared" si="5"/>
        <v>0</v>
      </c>
      <c r="U25" s="565">
        <v>0</v>
      </c>
      <c r="V25" s="441">
        <f t="shared" si="6"/>
        <v>0</v>
      </c>
      <c r="W25" s="173">
        <v>3497</v>
      </c>
      <c r="X25" s="441">
        <f t="shared" si="7"/>
        <v>1.7692532935825351</v>
      </c>
      <c r="Y25" s="565">
        <v>0</v>
      </c>
      <c r="Z25" s="441">
        <f t="shared" si="8"/>
        <v>0</v>
      </c>
      <c r="AA25" s="565">
        <v>0</v>
      </c>
      <c r="AB25" s="441">
        <f t="shared" si="9"/>
        <v>0</v>
      </c>
      <c r="AC25" s="565">
        <v>0</v>
      </c>
      <c r="AD25" s="441">
        <f t="shared" si="10"/>
        <v>0</v>
      </c>
      <c r="AE25" s="576">
        <f t="shared" si="13"/>
        <v>4904</v>
      </c>
    </row>
    <row r="26" spans="1:31" ht="8.25">
      <c r="A26" s="222" t="s">
        <v>260</v>
      </c>
      <c r="B26" s="568"/>
      <c r="C26" s="446">
        <v>18</v>
      </c>
      <c r="D26" s="446">
        <v>196</v>
      </c>
      <c r="E26" s="51">
        <v>0.0015816326530615262</v>
      </c>
      <c r="F26" s="54">
        <f t="shared" si="14"/>
        <v>4.93742575425327</v>
      </c>
      <c r="G26" s="50">
        <v>2.82</v>
      </c>
      <c r="H26" s="568">
        <v>2005</v>
      </c>
      <c r="I26" s="576">
        <f t="shared" si="0"/>
        <v>6208</v>
      </c>
      <c r="J26" s="50">
        <f t="shared" si="1"/>
        <v>3.1566378916084292</v>
      </c>
      <c r="K26" s="50">
        <f t="shared" si="2"/>
        <v>3.032222969756562</v>
      </c>
      <c r="L26" s="107">
        <f t="shared" si="11"/>
        <v>4.93742575425327</v>
      </c>
      <c r="M26" s="416">
        <f>M25+1304</f>
        <v>1843</v>
      </c>
      <c r="N26" s="50">
        <f t="shared" si="12"/>
        <v>0.9324374664205355</v>
      </c>
      <c r="O26" s="565">
        <v>868</v>
      </c>
      <c r="P26" s="441">
        <f t="shared" si="3"/>
        <v>0.4391512321503118</v>
      </c>
      <c r="Q26" s="565">
        <v>0</v>
      </c>
      <c r="R26" s="441">
        <f t="shared" si="4"/>
        <v>0</v>
      </c>
      <c r="S26" s="565">
        <v>0</v>
      </c>
      <c r="T26" s="441">
        <f t="shared" si="5"/>
        <v>0</v>
      </c>
      <c r="U26" s="565">
        <v>0</v>
      </c>
      <c r="V26" s="441">
        <f t="shared" si="6"/>
        <v>0</v>
      </c>
      <c r="W26" s="173">
        <v>3497</v>
      </c>
      <c r="X26" s="441">
        <f t="shared" si="7"/>
        <v>1.7692532935825351</v>
      </c>
      <c r="Y26" s="565">
        <v>0</v>
      </c>
      <c r="Z26" s="441">
        <f t="shared" si="8"/>
        <v>0</v>
      </c>
      <c r="AA26" s="565">
        <v>0</v>
      </c>
      <c r="AB26" s="441">
        <f t="shared" si="9"/>
        <v>0</v>
      </c>
      <c r="AC26" s="565">
        <v>0</v>
      </c>
      <c r="AD26" s="441">
        <f t="shared" si="10"/>
        <v>0</v>
      </c>
      <c r="AE26" s="576">
        <f t="shared" si="13"/>
        <v>6208</v>
      </c>
    </row>
    <row r="27" spans="1:31" ht="8.25">
      <c r="A27" s="222" t="s">
        <v>260</v>
      </c>
      <c r="B27" s="568"/>
      <c r="C27" s="446">
        <v>18</v>
      </c>
      <c r="D27" s="446">
        <v>323</v>
      </c>
      <c r="E27" s="51">
        <v>0.0015479876160990713</v>
      </c>
      <c r="F27" s="54">
        <f t="shared" si="14"/>
        <v>4.884628148323271</v>
      </c>
      <c r="G27" s="50">
        <v>2.82</v>
      </c>
      <c r="H27" s="568">
        <v>2005</v>
      </c>
      <c r="I27" s="576">
        <f t="shared" si="0"/>
        <v>6208</v>
      </c>
      <c r="J27" s="50">
        <f t="shared" si="1"/>
        <v>3.1566378916084292</v>
      </c>
      <c r="K27" s="50">
        <f t="shared" si="2"/>
        <v>3.032222969756562</v>
      </c>
      <c r="L27" s="107">
        <f t="shared" si="11"/>
        <v>4.884628148323271</v>
      </c>
      <c r="M27" s="416">
        <v>1843</v>
      </c>
      <c r="N27" s="50">
        <f t="shared" si="12"/>
        <v>0.9324374664205355</v>
      </c>
      <c r="O27" s="565">
        <v>868</v>
      </c>
      <c r="P27" s="441">
        <f t="shared" si="3"/>
        <v>0.4391512321503118</v>
      </c>
      <c r="Q27" s="565">
        <v>0</v>
      </c>
      <c r="R27" s="441">
        <f t="shared" si="4"/>
        <v>0</v>
      </c>
      <c r="S27" s="565">
        <v>0</v>
      </c>
      <c r="T27" s="441">
        <f t="shared" si="5"/>
        <v>0</v>
      </c>
      <c r="U27" s="565">
        <v>0</v>
      </c>
      <c r="V27" s="441">
        <f t="shared" si="6"/>
        <v>0</v>
      </c>
      <c r="W27" s="173">
        <v>3497</v>
      </c>
      <c r="X27" s="441">
        <f t="shared" si="7"/>
        <v>1.7692532935825351</v>
      </c>
      <c r="Y27" s="565">
        <v>0</v>
      </c>
      <c r="Z27" s="441">
        <f t="shared" si="8"/>
        <v>0</v>
      </c>
      <c r="AA27" s="565">
        <v>0</v>
      </c>
      <c r="AB27" s="441">
        <f t="shared" si="9"/>
        <v>0</v>
      </c>
      <c r="AC27" s="565">
        <v>0</v>
      </c>
      <c r="AD27" s="441">
        <f t="shared" si="10"/>
        <v>0</v>
      </c>
      <c r="AE27" s="576">
        <f t="shared" si="13"/>
        <v>6208</v>
      </c>
    </row>
    <row r="28" spans="1:31" ht="8.25">
      <c r="A28" s="222" t="s">
        <v>260</v>
      </c>
      <c r="B28" s="568" t="s">
        <v>465</v>
      </c>
      <c r="C28" s="446">
        <v>18</v>
      </c>
      <c r="D28" s="446">
        <v>279</v>
      </c>
      <c r="E28" s="51">
        <v>0.0013978494623655426</v>
      </c>
      <c r="F28" s="54">
        <f t="shared" si="14"/>
        <v>4.641709627265424</v>
      </c>
      <c r="G28" s="50">
        <v>2.82</v>
      </c>
      <c r="H28" s="568">
        <v>2005</v>
      </c>
      <c r="I28" s="576">
        <f t="shared" si="0"/>
        <v>6208</v>
      </c>
      <c r="J28" s="50">
        <f t="shared" si="1"/>
        <v>3.1566378916084292</v>
      </c>
      <c r="K28" s="50">
        <f t="shared" si="2"/>
        <v>3.032222969756562</v>
      </c>
      <c r="L28" s="107">
        <f t="shared" si="11"/>
        <v>4.641709627265424</v>
      </c>
      <c r="M28" s="416">
        <v>1843</v>
      </c>
      <c r="N28" s="50">
        <f t="shared" si="12"/>
        <v>0.9324374664205355</v>
      </c>
      <c r="O28" s="565">
        <v>868</v>
      </c>
      <c r="P28" s="441">
        <f t="shared" si="3"/>
        <v>0.4391512321503118</v>
      </c>
      <c r="Q28" s="565">
        <v>0</v>
      </c>
      <c r="R28" s="441">
        <f t="shared" si="4"/>
        <v>0</v>
      </c>
      <c r="S28" s="565">
        <v>0</v>
      </c>
      <c r="T28" s="441">
        <f t="shared" si="5"/>
        <v>0</v>
      </c>
      <c r="U28" s="565">
        <v>0</v>
      </c>
      <c r="V28" s="441">
        <f t="shared" si="6"/>
        <v>0</v>
      </c>
      <c r="W28" s="173">
        <v>3497</v>
      </c>
      <c r="X28" s="441">
        <f t="shared" si="7"/>
        <v>1.7692532935825351</v>
      </c>
      <c r="Y28" s="565">
        <v>0</v>
      </c>
      <c r="Z28" s="441">
        <f t="shared" si="8"/>
        <v>0</v>
      </c>
      <c r="AA28" s="565">
        <v>0</v>
      </c>
      <c r="AB28" s="441">
        <f t="shared" si="9"/>
        <v>0</v>
      </c>
      <c r="AC28" s="565">
        <v>0</v>
      </c>
      <c r="AD28" s="441">
        <f t="shared" si="10"/>
        <v>0</v>
      </c>
      <c r="AE28" s="576">
        <f t="shared" si="13"/>
        <v>6208</v>
      </c>
    </row>
    <row r="29" spans="1:31" ht="8.25">
      <c r="A29" s="222" t="s">
        <v>465</v>
      </c>
      <c r="B29" s="568"/>
      <c r="C29" s="446">
        <v>18</v>
      </c>
      <c r="D29" s="446">
        <v>340</v>
      </c>
      <c r="E29" s="51">
        <v>0.0013235294117648396</v>
      </c>
      <c r="F29" s="54">
        <f t="shared" si="14"/>
        <v>4.516630523523288</v>
      </c>
      <c r="G29" s="50">
        <v>4.3</v>
      </c>
      <c r="H29" s="568">
        <v>2005</v>
      </c>
      <c r="I29" s="576">
        <f t="shared" si="0"/>
        <v>8505</v>
      </c>
      <c r="J29" s="50">
        <f t="shared" si="1"/>
        <v>3.0241939426324858</v>
      </c>
      <c r="K29" s="50">
        <f t="shared" si="2"/>
        <v>3.979867529784563</v>
      </c>
      <c r="L29" s="107">
        <f t="shared" si="11"/>
        <v>4.516630523523288</v>
      </c>
      <c r="M29" s="416">
        <f>M28+2297</f>
        <v>4140</v>
      </c>
      <c r="N29" s="50">
        <f t="shared" si="12"/>
        <v>2.094569240901257</v>
      </c>
      <c r="O29" s="565">
        <v>868</v>
      </c>
      <c r="P29" s="441">
        <f t="shared" si="3"/>
        <v>0.4391512321503118</v>
      </c>
      <c r="Q29" s="565">
        <v>0</v>
      </c>
      <c r="R29" s="441">
        <f t="shared" si="4"/>
        <v>0</v>
      </c>
      <c r="S29" s="565">
        <v>0</v>
      </c>
      <c r="T29" s="441">
        <f t="shared" si="5"/>
        <v>0</v>
      </c>
      <c r="U29" s="565">
        <v>0</v>
      </c>
      <c r="V29" s="441">
        <f t="shared" si="6"/>
        <v>0</v>
      </c>
      <c r="W29" s="173">
        <v>3497</v>
      </c>
      <c r="X29" s="441">
        <f t="shared" si="7"/>
        <v>1.7692532935825351</v>
      </c>
      <c r="Y29" s="565">
        <v>0</v>
      </c>
      <c r="Z29" s="441">
        <f t="shared" si="8"/>
        <v>0</v>
      </c>
      <c r="AA29" s="565">
        <v>0</v>
      </c>
      <c r="AB29" s="441">
        <f t="shared" si="9"/>
        <v>0</v>
      </c>
      <c r="AC29" s="565">
        <v>0</v>
      </c>
      <c r="AD29" s="441">
        <f t="shared" si="10"/>
        <v>0</v>
      </c>
      <c r="AE29" s="576">
        <f t="shared" si="13"/>
        <v>8505</v>
      </c>
    </row>
    <row r="30" spans="1:31" ht="8.25">
      <c r="A30" s="222" t="s">
        <v>465</v>
      </c>
      <c r="B30" s="568"/>
      <c r="C30" s="446">
        <v>18</v>
      </c>
      <c r="D30" s="446">
        <v>258</v>
      </c>
      <c r="E30" s="51">
        <v>0.012906976744186205</v>
      </c>
      <c r="F30" s="54">
        <f t="shared" si="14"/>
        <v>14.104575847150217</v>
      </c>
      <c r="G30" s="50">
        <v>4.3</v>
      </c>
      <c r="H30" s="568">
        <v>2005</v>
      </c>
      <c r="I30" s="576">
        <f t="shared" si="0"/>
        <v>9192</v>
      </c>
      <c r="J30" s="50">
        <f t="shared" si="1"/>
        <v>2.9909465602133776</v>
      </c>
      <c r="K30" s="50">
        <f t="shared" si="2"/>
        <v>4.254057236191785</v>
      </c>
      <c r="L30" s="107">
        <f t="shared" si="11"/>
        <v>14.104575847150217</v>
      </c>
      <c r="M30" s="416">
        <f>M29+687</f>
        <v>4827</v>
      </c>
      <c r="N30" s="50">
        <f t="shared" si="12"/>
        <v>2.442146310587045</v>
      </c>
      <c r="O30" s="565">
        <v>868</v>
      </c>
      <c r="P30" s="441">
        <f t="shared" si="3"/>
        <v>0.4391512321503118</v>
      </c>
      <c r="Q30" s="565">
        <v>0</v>
      </c>
      <c r="R30" s="441">
        <f t="shared" si="4"/>
        <v>0</v>
      </c>
      <c r="S30" s="565">
        <v>0</v>
      </c>
      <c r="T30" s="441">
        <f t="shared" si="5"/>
        <v>0</v>
      </c>
      <c r="U30" s="565">
        <v>0</v>
      </c>
      <c r="V30" s="441">
        <f t="shared" si="6"/>
        <v>0</v>
      </c>
      <c r="W30" s="173">
        <v>3497</v>
      </c>
      <c r="X30" s="441">
        <f t="shared" si="7"/>
        <v>1.7692532935825351</v>
      </c>
      <c r="Y30" s="565">
        <v>0</v>
      </c>
      <c r="Z30" s="441">
        <f t="shared" si="8"/>
        <v>0</v>
      </c>
      <c r="AA30" s="565">
        <v>0</v>
      </c>
      <c r="AB30" s="441">
        <f t="shared" si="9"/>
        <v>0</v>
      </c>
      <c r="AC30" s="565">
        <v>0</v>
      </c>
      <c r="AD30" s="441">
        <f t="shared" si="10"/>
        <v>0</v>
      </c>
      <c r="AE30" s="576">
        <f t="shared" si="13"/>
        <v>9192</v>
      </c>
    </row>
    <row r="31" spans="1:31" ht="8.25">
      <c r="A31" s="222" t="s">
        <v>465</v>
      </c>
      <c r="B31" s="568"/>
      <c r="C31" s="446">
        <v>18</v>
      </c>
      <c r="D31" s="446">
        <v>333</v>
      </c>
      <c r="E31" s="51">
        <v>0.01306306306306313</v>
      </c>
      <c r="F31" s="54">
        <f t="shared" si="14"/>
        <v>14.189604101055984</v>
      </c>
      <c r="G31" s="50">
        <v>4.3</v>
      </c>
      <c r="H31" s="568">
        <v>2005</v>
      </c>
      <c r="I31" s="576">
        <f t="shared" si="0"/>
        <v>9192</v>
      </c>
      <c r="J31" s="50">
        <f t="shared" si="1"/>
        <v>2.9909465602133776</v>
      </c>
      <c r="K31" s="50">
        <f t="shared" si="2"/>
        <v>4.254057236191785</v>
      </c>
      <c r="L31" s="107">
        <f t="shared" si="11"/>
        <v>14.189604101055984</v>
      </c>
      <c r="M31" s="416">
        <v>4827</v>
      </c>
      <c r="N31" s="50">
        <f t="shared" si="12"/>
        <v>2.442146310587045</v>
      </c>
      <c r="O31" s="565">
        <v>868</v>
      </c>
      <c r="P31" s="441">
        <f t="shared" si="3"/>
        <v>0.4391512321503118</v>
      </c>
      <c r="Q31" s="565">
        <v>0</v>
      </c>
      <c r="R31" s="441">
        <f t="shared" si="4"/>
        <v>0</v>
      </c>
      <c r="S31" s="565">
        <v>0</v>
      </c>
      <c r="T31" s="441">
        <f t="shared" si="5"/>
        <v>0</v>
      </c>
      <c r="U31" s="565">
        <v>0</v>
      </c>
      <c r="V31" s="441">
        <f t="shared" si="6"/>
        <v>0</v>
      </c>
      <c r="W31" s="173">
        <v>3497</v>
      </c>
      <c r="X31" s="441">
        <f t="shared" si="7"/>
        <v>1.7692532935825351</v>
      </c>
      <c r="Y31" s="565">
        <v>0</v>
      </c>
      <c r="Z31" s="441">
        <f t="shared" si="8"/>
        <v>0</v>
      </c>
      <c r="AA31" s="565">
        <v>0</v>
      </c>
      <c r="AB31" s="441">
        <f t="shared" si="9"/>
        <v>0</v>
      </c>
      <c r="AC31" s="565">
        <v>0</v>
      </c>
      <c r="AD31" s="441">
        <f t="shared" si="10"/>
        <v>0</v>
      </c>
      <c r="AE31" s="576">
        <f t="shared" si="13"/>
        <v>9192</v>
      </c>
    </row>
    <row r="32" spans="1:31" ht="8.25">
      <c r="A32" s="222" t="s">
        <v>465</v>
      </c>
      <c r="B32" s="568"/>
      <c r="C32" s="446">
        <v>18</v>
      </c>
      <c r="D32" s="446">
        <v>344</v>
      </c>
      <c r="E32" s="51">
        <v>0.01308139534883721</v>
      </c>
      <c r="F32" s="54">
        <f t="shared" si="14"/>
        <v>14.19955722906043</v>
      </c>
      <c r="G32" s="50">
        <v>4.3</v>
      </c>
      <c r="H32" s="568">
        <v>2005</v>
      </c>
      <c r="I32" s="576">
        <f t="shared" si="0"/>
        <v>9192</v>
      </c>
      <c r="J32" s="50">
        <f t="shared" si="1"/>
        <v>2.9909465602133776</v>
      </c>
      <c r="K32" s="50">
        <f t="shared" si="2"/>
        <v>4.254057236191785</v>
      </c>
      <c r="L32" s="107">
        <f t="shared" si="11"/>
        <v>14.19955722906043</v>
      </c>
      <c r="M32" s="416">
        <v>4827</v>
      </c>
      <c r="N32" s="50">
        <f t="shared" si="12"/>
        <v>2.442146310587045</v>
      </c>
      <c r="O32" s="565">
        <v>868</v>
      </c>
      <c r="P32" s="441">
        <f t="shared" si="3"/>
        <v>0.4391512321503118</v>
      </c>
      <c r="Q32" s="565">
        <v>0</v>
      </c>
      <c r="R32" s="441">
        <f t="shared" si="4"/>
        <v>0</v>
      </c>
      <c r="S32" s="565">
        <v>0</v>
      </c>
      <c r="T32" s="441">
        <f t="shared" si="5"/>
        <v>0</v>
      </c>
      <c r="U32" s="565">
        <v>0</v>
      </c>
      <c r="V32" s="441">
        <f t="shared" si="6"/>
        <v>0</v>
      </c>
      <c r="W32" s="173">
        <v>3497</v>
      </c>
      <c r="X32" s="441">
        <f t="shared" si="7"/>
        <v>1.7692532935825351</v>
      </c>
      <c r="Y32" s="565">
        <v>0</v>
      </c>
      <c r="Z32" s="441">
        <f t="shared" si="8"/>
        <v>0</v>
      </c>
      <c r="AA32" s="565">
        <v>0</v>
      </c>
      <c r="AB32" s="441">
        <f t="shared" si="9"/>
        <v>0</v>
      </c>
      <c r="AC32" s="565">
        <v>0</v>
      </c>
      <c r="AD32" s="441">
        <f t="shared" si="10"/>
        <v>0</v>
      </c>
      <c r="AE32" s="576">
        <f t="shared" si="13"/>
        <v>9192</v>
      </c>
    </row>
    <row r="33" spans="1:31" ht="8.25">
      <c r="A33" s="222" t="s">
        <v>465</v>
      </c>
      <c r="B33" s="568"/>
      <c r="C33" s="446">
        <v>18</v>
      </c>
      <c r="D33" s="446">
        <v>168</v>
      </c>
      <c r="E33" s="51">
        <v>0.00904761904761894</v>
      </c>
      <c r="F33" s="54">
        <f t="shared" si="14"/>
        <v>11.809048871362654</v>
      </c>
      <c r="G33" s="50">
        <v>4.64</v>
      </c>
      <c r="H33" s="568">
        <v>2005</v>
      </c>
      <c r="I33" s="576">
        <f t="shared" si="0"/>
        <v>9192</v>
      </c>
      <c r="J33" s="50">
        <f t="shared" si="1"/>
        <v>2.9909465602133776</v>
      </c>
      <c r="K33" s="50">
        <f t="shared" si="2"/>
        <v>4.254057236191785</v>
      </c>
      <c r="L33" s="107">
        <f t="shared" si="11"/>
        <v>11.809048871362654</v>
      </c>
      <c r="M33" s="416">
        <v>4827</v>
      </c>
      <c r="N33" s="50">
        <f t="shared" si="12"/>
        <v>2.442146310587045</v>
      </c>
      <c r="O33" s="565">
        <v>868</v>
      </c>
      <c r="P33" s="441">
        <f t="shared" si="3"/>
        <v>0.4391512321503118</v>
      </c>
      <c r="Q33" s="565">
        <v>0</v>
      </c>
      <c r="R33" s="441">
        <f t="shared" si="4"/>
        <v>0</v>
      </c>
      <c r="S33" s="565">
        <v>0</v>
      </c>
      <c r="T33" s="441">
        <f t="shared" si="5"/>
        <v>0</v>
      </c>
      <c r="U33" s="565">
        <v>0</v>
      </c>
      <c r="V33" s="441">
        <f t="shared" si="6"/>
        <v>0</v>
      </c>
      <c r="W33" s="173">
        <v>3497</v>
      </c>
      <c r="X33" s="441">
        <f t="shared" si="7"/>
        <v>1.7692532935825351</v>
      </c>
      <c r="Y33" s="565">
        <v>0</v>
      </c>
      <c r="Z33" s="441">
        <f t="shared" si="8"/>
        <v>0</v>
      </c>
      <c r="AA33" s="565">
        <v>0</v>
      </c>
      <c r="AB33" s="441">
        <f t="shared" si="9"/>
        <v>0</v>
      </c>
      <c r="AC33" s="565">
        <v>0</v>
      </c>
      <c r="AD33" s="441">
        <f t="shared" si="10"/>
        <v>0</v>
      </c>
      <c r="AE33" s="576">
        <f t="shared" si="13"/>
        <v>9192</v>
      </c>
    </row>
    <row r="34" spans="1:31" ht="8.25">
      <c r="A34" s="222" t="s">
        <v>465</v>
      </c>
      <c r="B34" s="568"/>
      <c r="C34" s="446">
        <v>18</v>
      </c>
      <c r="D34" s="446">
        <v>352</v>
      </c>
      <c r="E34" s="51">
        <v>0.009829545454545558</v>
      </c>
      <c r="F34" s="54">
        <f t="shared" si="14"/>
        <v>12.308765121597354</v>
      </c>
      <c r="G34" s="50">
        <v>4.64</v>
      </c>
      <c r="H34" s="568">
        <v>2005</v>
      </c>
      <c r="I34" s="576">
        <f t="shared" si="0"/>
        <v>9192</v>
      </c>
      <c r="J34" s="50">
        <f t="shared" si="1"/>
        <v>2.9909465602133776</v>
      </c>
      <c r="K34" s="50">
        <f t="shared" si="2"/>
        <v>4.254057236191785</v>
      </c>
      <c r="L34" s="107">
        <f t="shared" si="11"/>
        <v>12.308765121597354</v>
      </c>
      <c r="M34" s="416">
        <v>4827</v>
      </c>
      <c r="N34" s="50">
        <f t="shared" si="12"/>
        <v>2.442146310587045</v>
      </c>
      <c r="O34" s="565">
        <v>868</v>
      </c>
      <c r="P34" s="441">
        <f t="shared" si="3"/>
        <v>0.4391512321503118</v>
      </c>
      <c r="Q34" s="565">
        <v>0</v>
      </c>
      <c r="R34" s="441">
        <f t="shared" si="4"/>
        <v>0</v>
      </c>
      <c r="S34" s="565">
        <v>0</v>
      </c>
      <c r="T34" s="441">
        <f t="shared" si="5"/>
        <v>0</v>
      </c>
      <c r="U34" s="565">
        <v>0</v>
      </c>
      <c r="V34" s="441">
        <f t="shared" si="6"/>
        <v>0</v>
      </c>
      <c r="W34" s="173">
        <v>3497</v>
      </c>
      <c r="X34" s="441">
        <f t="shared" si="7"/>
        <v>1.7692532935825351</v>
      </c>
      <c r="Y34" s="565">
        <v>0</v>
      </c>
      <c r="Z34" s="441">
        <f t="shared" si="8"/>
        <v>0</v>
      </c>
      <c r="AA34" s="565">
        <v>0</v>
      </c>
      <c r="AB34" s="441">
        <f t="shared" si="9"/>
        <v>0</v>
      </c>
      <c r="AC34" s="565">
        <v>0</v>
      </c>
      <c r="AD34" s="441">
        <f t="shared" si="10"/>
        <v>0</v>
      </c>
      <c r="AE34" s="576">
        <f t="shared" si="13"/>
        <v>9192</v>
      </c>
    </row>
    <row r="35" spans="1:31" ht="8.25">
      <c r="A35" s="222" t="s">
        <v>465</v>
      </c>
      <c r="B35" s="568"/>
      <c r="C35" s="446">
        <v>18</v>
      </c>
      <c r="D35" s="446">
        <v>67</v>
      </c>
      <c r="E35" s="51">
        <v>0.004626865671640976</v>
      </c>
      <c r="F35" s="54">
        <f t="shared" si="14"/>
        <v>8.444835853265316</v>
      </c>
      <c r="G35" s="50">
        <v>4.64</v>
      </c>
      <c r="H35" s="568">
        <v>2003</v>
      </c>
      <c r="I35" s="576">
        <f t="shared" si="0"/>
        <v>9192</v>
      </c>
      <c r="J35" s="50">
        <f t="shared" si="1"/>
        <v>2.9909465602133776</v>
      </c>
      <c r="K35" s="50">
        <f t="shared" si="2"/>
        <v>4.254057236191785</v>
      </c>
      <c r="L35" s="107">
        <f t="shared" si="11"/>
        <v>8.444835853265316</v>
      </c>
      <c r="M35" s="416">
        <v>4827</v>
      </c>
      <c r="N35" s="50">
        <f t="shared" si="12"/>
        <v>2.442146310587045</v>
      </c>
      <c r="O35" s="565">
        <v>868</v>
      </c>
      <c r="P35" s="441">
        <f t="shared" si="3"/>
        <v>0.4391512321503118</v>
      </c>
      <c r="Q35" s="565">
        <v>0</v>
      </c>
      <c r="R35" s="441">
        <f t="shared" si="4"/>
        <v>0</v>
      </c>
      <c r="S35" s="565">
        <v>0</v>
      </c>
      <c r="T35" s="441">
        <f t="shared" si="5"/>
        <v>0</v>
      </c>
      <c r="U35" s="565">
        <v>0</v>
      </c>
      <c r="V35" s="441">
        <f t="shared" si="6"/>
        <v>0</v>
      </c>
      <c r="W35" s="173">
        <v>3497</v>
      </c>
      <c r="X35" s="441">
        <f t="shared" si="7"/>
        <v>1.7692532935825351</v>
      </c>
      <c r="Y35" s="565">
        <v>0</v>
      </c>
      <c r="Z35" s="441">
        <f t="shared" si="8"/>
        <v>0</v>
      </c>
      <c r="AA35" s="565">
        <v>0</v>
      </c>
      <c r="AB35" s="441">
        <f t="shared" si="9"/>
        <v>0</v>
      </c>
      <c r="AC35" s="565">
        <v>0</v>
      </c>
      <c r="AD35" s="441">
        <f t="shared" si="10"/>
        <v>0</v>
      </c>
      <c r="AE35" s="576">
        <f t="shared" si="13"/>
        <v>9192</v>
      </c>
    </row>
    <row r="36" spans="1:31" ht="8.25">
      <c r="A36" s="222" t="s">
        <v>260</v>
      </c>
      <c r="B36" s="568" t="s">
        <v>465</v>
      </c>
      <c r="C36" s="446">
        <v>18</v>
      </c>
      <c r="D36" s="446">
        <v>390</v>
      </c>
      <c r="E36" s="33">
        <v>0.004487179487179487</v>
      </c>
      <c r="F36" s="54">
        <f t="shared" si="14"/>
        <v>8.316383108463384</v>
      </c>
      <c r="G36" s="50">
        <v>4.64</v>
      </c>
      <c r="H36" s="568">
        <v>2003</v>
      </c>
      <c r="I36" s="576">
        <f t="shared" si="0"/>
        <v>9843</v>
      </c>
      <c r="J36" s="50">
        <f t="shared" si="1"/>
        <v>2.961510794037369</v>
      </c>
      <c r="K36" s="50">
        <f t="shared" si="2"/>
        <v>4.510508074883304</v>
      </c>
      <c r="L36" s="107">
        <f t="shared" si="11"/>
        <v>8.316383108463384</v>
      </c>
      <c r="M36" s="416">
        <f>M35+651</f>
        <v>5478</v>
      </c>
      <c r="N36" s="50">
        <f t="shared" si="12"/>
        <v>2.7715097346997792</v>
      </c>
      <c r="O36" s="565">
        <v>868</v>
      </c>
      <c r="P36" s="441">
        <f t="shared" si="3"/>
        <v>0.4391512321503118</v>
      </c>
      <c r="Q36" s="565">
        <v>0</v>
      </c>
      <c r="R36" s="441">
        <f t="shared" si="4"/>
        <v>0</v>
      </c>
      <c r="S36" s="565">
        <v>0</v>
      </c>
      <c r="T36" s="441">
        <f t="shared" si="5"/>
        <v>0</v>
      </c>
      <c r="U36" s="565">
        <v>0</v>
      </c>
      <c r="V36" s="441">
        <f t="shared" si="6"/>
        <v>0</v>
      </c>
      <c r="W36" s="173">
        <v>3497</v>
      </c>
      <c r="X36" s="441">
        <f t="shared" si="7"/>
        <v>1.7692532935825351</v>
      </c>
      <c r="Y36" s="565">
        <v>0</v>
      </c>
      <c r="Z36" s="441">
        <f t="shared" si="8"/>
        <v>0</v>
      </c>
      <c r="AA36" s="565">
        <v>0</v>
      </c>
      <c r="AB36" s="441">
        <f t="shared" si="9"/>
        <v>0</v>
      </c>
      <c r="AC36" s="565">
        <v>0</v>
      </c>
      <c r="AD36" s="441">
        <f t="shared" si="10"/>
        <v>0</v>
      </c>
      <c r="AE36" s="576">
        <f t="shared" si="13"/>
        <v>9843</v>
      </c>
    </row>
    <row r="37" spans="1:31" ht="8.25">
      <c r="A37" s="222" t="s">
        <v>260</v>
      </c>
      <c r="C37" s="446">
        <v>18</v>
      </c>
      <c r="D37" s="446">
        <v>360</v>
      </c>
      <c r="E37" s="33">
        <v>0.004638888888888775</v>
      </c>
      <c r="F37" s="54">
        <f t="shared" si="14"/>
        <v>8.455800967457002</v>
      </c>
      <c r="G37" s="50">
        <v>6.48</v>
      </c>
      <c r="H37" s="568">
        <v>2003</v>
      </c>
      <c r="I37" s="576">
        <f t="shared" si="0"/>
        <v>11670</v>
      </c>
      <c r="J37" s="50">
        <f t="shared" si="1"/>
        <v>2.8877749683352367</v>
      </c>
      <c r="K37" s="50">
        <f t="shared" si="2"/>
        <v>5.2145743402889515</v>
      </c>
      <c r="L37" s="107">
        <f t="shared" si="11"/>
        <v>8.455800967457002</v>
      </c>
      <c r="M37" s="416">
        <f>M36+315+1512</f>
        <v>7305</v>
      </c>
      <c r="N37" s="50">
        <f t="shared" si="12"/>
        <v>3.6958522475322906</v>
      </c>
      <c r="O37" s="565">
        <v>868</v>
      </c>
      <c r="P37" s="441">
        <f t="shared" si="3"/>
        <v>0.4391512321503118</v>
      </c>
      <c r="Q37" s="565">
        <v>0</v>
      </c>
      <c r="R37" s="441">
        <f t="shared" si="4"/>
        <v>0</v>
      </c>
      <c r="S37" s="565">
        <v>0</v>
      </c>
      <c r="T37" s="441">
        <f t="shared" si="5"/>
        <v>0</v>
      </c>
      <c r="U37" s="565">
        <v>0</v>
      </c>
      <c r="V37" s="441">
        <f t="shared" si="6"/>
        <v>0</v>
      </c>
      <c r="W37" s="173">
        <v>3497</v>
      </c>
      <c r="X37" s="441">
        <f t="shared" si="7"/>
        <v>1.7692532935825351</v>
      </c>
      <c r="Y37" s="565">
        <v>0</v>
      </c>
      <c r="Z37" s="441">
        <f t="shared" si="8"/>
        <v>0</v>
      </c>
      <c r="AA37" s="565">
        <v>0</v>
      </c>
      <c r="AB37" s="441">
        <f t="shared" si="9"/>
        <v>0</v>
      </c>
      <c r="AC37" s="565">
        <v>0</v>
      </c>
      <c r="AD37" s="441">
        <f t="shared" si="10"/>
        <v>0</v>
      </c>
      <c r="AE37" s="576">
        <f t="shared" si="13"/>
        <v>11670</v>
      </c>
    </row>
    <row r="38" spans="1:31" ht="8.25">
      <c r="A38" s="222" t="s">
        <v>260</v>
      </c>
      <c r="C38" s="446">
        <v>18</v>
      </c>
      <c r="D38" s="446">
        <v>342</v>
      </c>
      <c r="E38" s="33">
        <v>0.0043859649122807015</v>
      </c>
      <c r="F38" s="54">
        <f t="shared" si="14"/>
        <v>8.222054351008882</v>
      </c>
      <c r="G38" s="50">
        <v>6.48</v>
      </c>
      <c r="H38" s="568">
        <v>2003</v>
      </c>
      <c r="I38" s="576">
        <v>11670</v>
      </c>
      <c r="J38" s="50">
        <f t="shared" si="1"/>
        <v>2.8877749683352367</v>
      </c>
      <c r="K38" s="50">
        <f t="shared" si="2"/>
        <v>5.2145743402889515</v>
      </c>
      <c r="L38" s="107">
        <f t="shared" si="11"/>
        <v>8.222054351008882</v>
      </c>
      <c r="M38" s="416">
        <v>7305</v>
      </c>
      <c r="N38" s="50">
        <f t="shared" si="12"/>
        <v>3.6958522475322906</v>
      </c>
      <c r="O38" s="565">
        <v>868</v>
      </c>
      <c r="P38" s="441">
        <f t="shared" si="3"/>
        <v>0.4391512321503118</v>
      </c>
      <c r="Q38" s="565">
        <v>0</v>
      </c>
      <c r="R38" s="441">
        <f t="shared" si="4"/>
        <v>0</v>
      </c>
      <c r="S38" s="565">
        <v>0</v>
      </c>
      <c r="T38" s="441">
        <f t="shared" si="5"/>
        <v>0</v>
      </c>
      <c r="U38" s="565">
        <v>0</v>
      </c>
      <c r="V38" s="441">
        <f t="shared" si="6"/>
        <v>0</v>
      </c>
      <c r="W38" s="173">
        <v>3497</v>
      </c>
      <c r="X38" s="441">
        <f t="shared" si="7"/>
        <v>1.7692532935825351</v>
      </c>
      <c r="Y38" s="565">
        <v>0</v>
      </c>
      <c r="Z38" s="441">
        <f t="shared" si="8"/>
        <v>0</v>
      </c>
      <c r="AA38" s="565">
        <v>0</v>
      </c>
      <c r="AB38" s="441">
        <f t="shared" si="9"/>
        <v>0</v>
      </c>
      <c r="AC38" s="565">
        <v>0</v>
      </c>
      <c r="AD38" s="441">
        <f t="shared" si="10"/>
        <v>0</v>
      </c>
      <c r="AE38" s="576">
        <f t="shared" si="13"/>
        <v>11670</v>
      </c>
    </row>
    <row r="39" spans="1:31" ht="8.25">
      <c r="A39" s="222" t="s">
        <v>260</v>
      </c>
      <c r="C39" s="446">
        <v>18</v>
      </c>
      <c r="D39" s="446">
        <v>400</v>
      </c>
      <c r="E39" s="33">
        <v>0.0046249999999997725</v>
      </c>
      <c r="F39" s="54">
        <f t="shared" si="14"/>
        <v>8.443133093725754</v>
      </c>
      <c r="G39" s="50">
        <v>6.48</v>
      </c>
      <c r="H39" s="568">
        <v>2003</v>
      </c>
      <c r="I39" s="576">
        <v>11670</v>
      </c>
      <c r="J39" s="50">
        <f t="shared" si="1"/>
        <v>2.8877749683352367</v>
      </c>
      <c r="K39" s="50">
        <f t="shared" si="2"/>
        <v>5.2145743402889515</v>
      </c>
      <c r="L39" s="107">
        <f t="shared" si="11"/>
        <v>8.443133093725754</v>
      </c>
      <c r="M39" s="416">
        <v>7305</v>
      </c>
      <c r="N39" s="50">
        <f t="shared" si="12"/>
        <v>3.6958522475322906</v>
      </c>
      <c r="O39" s="565">
        <v>868</v>
      </c>
      <c r="P39" s="441">
        <f t="shared" si="3"/>
        <v>0.4391512321503118</v>
      </c>
      <c r="Q39" s="565">
        <v>0</v>
      </c>
      <c r="R39" s="441">
        <f t="shared" si="4"/>
        <v>0</v>
      </c>
      <c r="S39" s="565">
        <v>0</v>
      </c>
      <c r="T39" s="441">
        <f t="shared" si="5"/>
        <v>0</v>
      </c>
      <c r="U39" s="565">
        <v>0</v>
      </c>
      <c r="V39" s="441">
        <f t="shared" si="6"/>
        <v>0</v>
      </c>
      <c r="W39" s="173">
        <v>3497</v>
      </c>
      <c r="X39" s="441">
        <f t="shared" si="7"/>
        <v>1.7692532935825351</v>
      </c>
      <c r="Y39" s="565">
        <v>0</v>
      </c>
      <c r="Z39" s="441">
        <f t="shared" si="8"/>
        <v>0</v>
      </c>
      <c r="AA39" s="565">
        <v>0</v>
      </c>
      <c r="AB39" s="441">
        <f t="shared" si="9"/>
        <v>0</v>
      </c>
      <c r="AC39" s="565">
        <v>0</v>
      </c>
      <c r="AD39" s="441">
        <f t="shared" si="10"/>
        <v>0</v>
      </c>
      <c r="AE39" s="576">
        <f t="shared" si="13"/>
        <v>11670</v>
      </c>
    </row>
    <row r="40" spans="1:31" ht="8.25">
      <c r="A40" s="222" t="s">
        <v>260</v>
      </c>
      <c r="C40" s="446">
        <v>18</v>
      </c>
      <c r="D40" s="446">
        <v>400</v>
      </c>
      <c r="E40" s="33">
        <v>0.004399999999999977</v>
      </c>
      <c r="F40" s="54">
        <f t="shared" si="14"/>
        <v>8.23519913054607</v>
      </c>
      <c r="G40" s="50">
        <v>6.48</v>
      </c>
      <c r="H40" s="568">
        <v>2003</v>
      </c>
      <c r="I40" s="576">
        <v>11670</v>
      </c>
      <c r="J40" s="50">
        <f aca="true" t="shared" si="15" ref="J40:J71">(18+SQRT(I40/1000))/(4+SQRT(I40/1000))</f>
        <v>2.8877749683352367</v>
      </c>
      <c r="K40" s="50">
        <f aca="true" t="shared" si="16" ref="K40:K59">I40*100*J40/(7.48*24*60*60)</f>
        <v>5.2145743402889515</v>
      </c>
      <c r="L40" s="107">
        <f t="shared" si="11"/>
        <v>8.23519913054607</v>
      </c>
      <c r="M40" s="416">
        <v>7305</v>
      </c>
      <c r="N40" s="50">
        <f t="shared" si="12"/>
        <v>3.6958522475322906</v>
      </c>
      <c r="O40" s="565">
        <v>868</v>
      </c>
      <c r="P40" s="441">
        <f aca="true" t="shared" si="17" ref="P40:P71">O40*100*$J$11/(7.48*24*60*60)</f>
        <v>0.4391512321503118</v>
      </c>
      <c r="Q40" s="565">
        <v>0</v>
      </c>
      <c r="R40" s="441">
        <f aca="true" t="shared" si="18" ref="R40:R71">Q40*100*$J$11/(7.48*24*60*60)</f>
        <v>0</v>
      </c>
      <c r="S40" s="565">
        <v>0</v>
      </c>
      <c r="T40" s="441">
        <f aca="true" t="shared" si="19" ref="T40:T71">S40*100*$J$11/(7.48*24*60*60)</f>
        <v>0</v>
      </c>
      <c r="U40" s="565">
        <v>0</v>
      </c>
      <c r="V40" s="441">
        <f aca="true" t="shared" si="20" ref="V40:V71">U40*100*$J$11/(7.48*24*60*60)</f>
        <v>0</v>
      </c>
      <c r="W40" s="173">
        <v>3497</v>
      </c>
      <c r="X40" s="441">
        <f aca="true" t="shared" si="21" ref="X40:X71">W40*100*$J$11/(7.48*24*60*60)</f>
        <v>1.7692532935825351</v>
      </c>
      <c r="Y40" s="565">
        <v>0</v>
      </c>
      <c r="Z40" s="441">
        <f aca="true" t="shared" si="22" ref="Z40:Z71">Y40*100*$J$11/(7.48*24*60*60)</f>
        <v>0</v>
      </c>
      <c r="AA40" s="565">
        <v>0</v>
      </c>
      <c r="AB40" s="441">
        <f aca="true" t="shared" si="23" ref="AB40:AB71">AA40*100*$J$11/(7.48*24*60*60)</f>
        <v>0</v>
      </c>
      <c r="AC40" s="565">
        <v>0</v>
      </c>
      <c r="AD40" s="441">
        <f aca="true" t="shared" si="24" ref="AD40:AD71">AC40*100*$J$11/(7.48*24*60*60)</f>
        <v>0</v>
      </c>
      <c r="AE40" s="576">
        <f t="shared" si="13"/>
        <v>11670</v>
      </c>
    </row>
    <row r="41" spans="1:31" ht="8.25">
      <c r="A41" s="222" t="s">
        <v>260</v>
      </c>
      <c r="C41" s="446">
        <v>18</v>
      </c>
      <c r="D41" s="446">
        <v>400</v>
      </c>
      <c r="E41" s="33">
        <v>0.004350000000000023</v>
      </c>
      <c r="F41" s="54">
        <f t="shared" si="14"/>
        <v>8.18827453700636</v>
      </c>
      <c r="G41" s="50">
        <v>6.48</v>
      </c>
      <c r="H41" s="568">
        <v>2003</v>
      </c>
      <c r="I41" s="576">
        <v>11670</v>
      </c>
      <c r="J41" s="50">
        <f t="shared" si="15"/>
        <v>2.8877749683352367</v>
      </c>
      <c r="K41" s="50">
        <f t="shared" si="16"/>
        <v>5.2145743402889515</v>
      </c>
      <c r="L41" s="107">
        <f aca="true" t="shared" si="25" ref="L41:L72">F41</f>
        <v>8.18827453700636</v>
      </c>
      <c r="M41" s="416">
        <v>7305</v>
      </c>
      <c r="N41" s="50">
        <f aca="true" t="shared" si="26" ref="N41:N72">M41*100*$J$11/(7.48*24*60*60)</f>
        <v>3.6958522475322906</v>
      </c>
      <c r="O41" s="565">
        <v>868</v>
      </c>
      <c r="P41" s="441">
        <f t="shared" si="17"/>
        <v>0.4391512321503118</v>
      </c>
      <c r="Q41" s="565">
        <v>0</v>
      </c>
      <c r="R41" s="441">
        <f t="shared" si="18"/>
        <v>0</v>
      </c>
      <c r="S41" s="565">
        <v>0</v>
      </c>
      <c r="T41" s="441">
        <f t="shared" si="19"/>
        <v>0</v>
      </c>
      <c r="U41" s="565">
        <v>0</v>
      </c>
      <c r="V41" s="441">
        <f t="shared" si="20"/>
        <v>0</v>
      </c>
      <c r="W41" s="173">
        <v>3497</v>
      </c>
      <c r="X41" s="441">
        <f t="shared" si="21"/>
        <v>1.7692532935825351</v>
      </c>
      <c r="Y41" s="565">
        <v>0</v>
      </c>
      <c r="Z41" s="441">
        <f t="shared" si="22"/>
        <v>0</v>
      </c>
      <c r="AA41" s="565">
        <v>0</v>
      </c>
      <c r="AB41" s="441">
        <f t="shared" si="23"/>
        <v>0</v>
      </c>
      <c r="AC41" s="565">
        <v>0</v>
      </c>
      <c r="AD41" s="441">
        <f t="shared" si="24"/>
        <v>0</v>
      </c>
      <c r="AE41" s="576">
        <f t="shared" si="13"/>
        <v>11670</v>
      </c>
    </row>
    <row r="42" spans="1:31" ht="8.25">
      <c r="A42" s="222" t="s">
        <v>466</v>
      </c>
      <c r="C42" s="446">
        <v>18</v>
      </c>
      <c r="D42" s="446">
        <v>400</v>
      </c>
      <c r="E42" s="33">
        <v>0.003950000000000103</v>
      </c>
      <c r="F42" s="54">
        <f t="shared" si="14"/>
        <v>7.802725247149347</v>
      </c>
      <c r="G42" s="50">
        <v>6.48</v>
      </c>
      <c r="H42" s="568">
        <v>2003</v>
      </c>
      <c r="I42" s="576">
        <v>11670</v>
      </c>
      <c r="J42" s="50">
        <f t="shared" si="15"/>
        <v>2.8877749683352367</v>
      </c>
      <c r="K42" s="50">
        <f t="shared" si="16"/>
        <v>5.2145743402889515</v>
      </c>
      <c r="L42" s="107">
        <f t="shared" si="25"/>
        <v>7.802725247149347</v>
      </c>
      <c r="M42" s="416">
        <v>7305</v>
      </c>
      <c r="N42" s="50">
        <f t="shared" si="26"/>
        <v>3.6958522475322906</v>
      </c>
      <c r="O42" s="565">
        <v>868</v>
      </c>
      <c r="P42" s="441">
        <f t="shared" si="17"/>
        <v>0.4391512321503118</v>
      </c>
      <c r="Q42" s="565">
        <v>0</v>
      </c>
      <c r="R42" s="441">
        <f t="shared" si="18"/>
        <v>0</v>
      </c>
      <c r="S42" s="565">
        <v>0</v>
      </c>
      <c r="T42" s="441">
        <f t="shared" si="19"/>
        <v>0</v>
      </c>
      <c r="U42" s="565">
        <v>0</v>
      </c>
      <c r="V42" s="441">
        <f t="shared" si="20"/>
        <v>0</v>
      </c>
      <c r="W42" s="173">
        <v>3497</v>
      </c>
      <c r="X42" s="441">
        <f t="shared" si="21"/>
        <v>1.7692532935825351</v>
      </c>
      <c r="Y42" s="565">
        <v>0</v>
      </c>
      <c r="Z42" s="441">
        <f t="shared" si="22"/>
        <v>0</v>
      </c>
      <c r="AA42" s="565">
        <v>0</v>
      </c>
      <c r="AB42" s="441">
        <f t="shared" si="23"/>
        <v>0</v>
      </c>
      <c r="AC42" s="565">
        <v>0</v>
      </c>
      <c r="AD42" s="441">
        <f t="shared" si="24"/>
        <v>0</v>
      </c>
      <c r="AE42" s="576">
        <f t="shared" si="13"/>
        <v>11670</v>
      </c>
    </row>
    <row r="43" spans="1:31" ht="8.25">
      <c r="A43" s="222" t="s">
        <v>467</v>
      </c>
      <c r="B43" s="29" t="s">
        <v>260</v>
      </c>
      <c r="C43" s="446">
        <v>18</v>
      </c>
      <c r="D43" s="446">
        <v>180</v>
      </c>
      <c r="E43" s="33">
        <v>0.003833333333333005</v>
      </c>
      <c r="F43" s="54">
        <f t="shared" si="14"/>
        <v>7.686631469917109</v>
      </c>
      <c r="G43" s="50">
        <v>6.48</v>
      </c>
      <c r="H43" s="568">
        <v>2003</v>
      </c>
      <c r="I43" s="576">
        <f aca="true" t="shared" si="27" ref="I43:I59">AE43</f>
        <v>14248</v>
      </c>
      <c r="J43" s="50">
        <f t="shared" si="15"/>
        <v>2.8007236152072843</v>
      </c>
      <c r="K43" s="50">
        <f t="shared" si="16"/>
        <v>6.174599869632815</v>
      </c>
      <c r="L43" s="107">
        <f t="shared" si="25"/>
        <v>7.686631469917109</v>
      </c>
      <c r="M43" s="416">
        <f>M42+868+1710</f>
        <v>9883</v>
      </c>
      <c r="N43" s="50">
        <f t="shared" si="26"/>
        <v>5.000151644402687</v>
      </c>
      <c r="O43" s="565">
        <v>868</v>
      </c>
      <c r="P43" s="441">
        <f t="shared" si="17"/>
        <v>0.4391512321503118</v>
      </c>
      <c r="Q43" s="565">
        <v>0</v>
      </c>
      <c r="R43" s="441">
        <f t="shared" si="18"/>
        <v>0</v>
      </c>
      <c r="S43" s="565">
        <v>0</v>
      </c>
      <c r="T43" s="441">
        <f t="shared" si="19"/>
        <v>0</v>
      </c>
      <c r="U43" s="565">
        <v>0</v>
      </c>
      <c r="V43" s="441">
        <f t="shared" si="20"/>
        <v>0</v>
      </c>
      <c r="W43" s="173">
        <v>3497</v>
      </c>
      <c r="X43" s="441">
        <f t="shared" si="21"/>
        <v>1.7692532935825351</v>
      </c>
      <c r="Y43" s="565">
        <v>0</v>
      </c>
      <c r="Z43" s="441">
        <f t="shared" si="22"/>
        <v>0</v>
      </c>
      <c r="AA43" s="565">
        <v>0</v>
      </c>
      <c r="AB43" s="441">
        <f t="shared" si="23"/>
        <v>0</v>
      </c>
      <c r="AC43" s="565">
        <v>0</v>
      </c>
      <c r="AD43" s="441">
        <f t="shared" si="24"/>
        <v>0</v>
      </c>
      <c r="AE43" s="576">
        <f t="shared" si="13"/>
        <v>14248</v>
      </c>
    </row>
    <row r="44" spans="1:31" ht="8.25">
      <c r="A44" s="222" t="s">
        <v>467</v>
      </c>
      <c r="C44" s="446">
        <v>18</v>
      </c>
      <c r="D44" s="446">
        <v>300</v>
      </c>
      <c r="E44" s="33">
        <v>0.017233333333333576</v>
      </c>
      <c r="F44" s="54">
        <f t="shared" si="14"/>
        <v>16.2979286051637</v>
      </c>
      <c r="G44" s="50">
        <v>6.48</v>
      </c>
      <c r="H44" s="568">
        <v>2003</v>
      </c>
      <c r="I44" s="576">
        <f t="shared" si="27"/>
        <v>14248</v>
      </c>
      <c r="J44" s="50">
        <f t="shared" si="15"/>
        <v>2.8007236152072843</v>
      </c>
      <c r="K44" s="50">
        <f t="shared" si="16"/>
        <v>6.174599869632815</v>
      </c>
      <c r="L44" s="107">
        <f t="shared" si="25"/>
        <v>16.2979286051637</v>
      </c>
      <c r="M44" s="416">
        <v>9883</v>
      </c>
      <c r="N44" s="50">
        <f t="shared" si="26"/>
        <v>5.000151644402687</v>
      </c>
      <c r="O44" s="565">
        <v>868</v>
      </c>
      <c r="P44" s="441">
        <f t="shared" si="17"/>
        <v>0.4391512321503118</v>
      </c>
      <c r="Q44" s="565">
        <v>0</v>
      </c>
      <c r="R44" s="441">
        <f t="shared" si="18"/>
        <v>0</v>
      </c>
      <c r="S44" s="565">
        <v>0</v>
      </c>
      <c r="T44" s="441">
        <f t="shared" si="19"/>
        <v>0</v>
      </c>
      <c r="U44" s="565">
        <v>0</v>
      </c>
      <c r="V44" s="441">
        <f t="shared" si="20"/>
        <v>0</v>
      </c>
      <c r="W44" s="173">
        <v>3497</v>
      </c>
      <c r="X44" s="441">
        <f t="shared" si="21"/>
        <v>1.7692532935825351</v>
      </c>
      <c r="Y44" s="565">
        <v>0</v>
      </c>
      <c r="Z44" s="441">
        <f t="shared" si="22"/>
        <v>0</v>
      </c>
      <c r="AA44" s="565">
        <v>0</v>
      </c>
      <c r="AB44" s="441">
        <f t="shared" si="23"/>
        <v>0</v>
      </c>
      <c r="AC44" s="565">
        <v>0</v>
      </c>
      <c r="AD44" s="441">
        <f t="shared" si="24"/>
        <v>0</v>
      </c>
      <c r="AE44" s="576">
        <f t="shared" si="13"/>
        <v>14248</v>
      </c>
    </row>
    <row r="45" spans="1:31" ht="8.25">
      <c r="A45" s="222" t="s">
        <v>467</v>
      </c>
      <c r="C45" s="446">
        <v>18</v>
      </c>
      <c r="D45" s="446">
        <v>329.5</v>
      </c>
      <c r="E45" s="33">
        <v>0.012534142640364175</v>
      </c>
      <c r="F45" s="54">
        <f t="shared" si="14"/>
        <v>13.899368950795779</v>
      </c>
      <c r="G45" s="50">
        <v>6.48</v>
      </c>
      <c r="H45" s="568">
        <v>2003</v>
      </c>
      <c r="I45" s="576">
        <f t="shared" si="27"/>
        <v>14248</v>
      </c>
      <c r="J45" s="50">
        <f t="shared" si="15"/>
        <v>2.8007236152072843</v>
      </c>
      <c r="K45" s="50">
        <f t="shared" si="16"/>
        <v>6.174599869632815</v>
      </c>
      <c r="L45" s="107">
        <f t="shared" si="25"/>
        <v>13.899368950795779</v>
      </c>
      <c r="M45" s="416">
        <v>9883</v>
      </c>
      <c r="N45" s="50">
        <f t="shared" si="26"/>
        <v>5.000151644402687</v>
      </c>
      <c r="O45" s="565">
        <v>868</v>
      </c>
      <c r="P45" s="441">
        <f t="shared" si="17"/>
        <v>0.4391512321503118</v>
      </c>
      <c r="Q45" s="565">
        <v>0</v>
      </c>
      <c r="R45" s="441">
        <f t="shared" si="18"/>
        <v>0</v>
      </c>
      <c r="S45" s="565">
        <v>0</v>
      </c>
      <c r="T45" s="441">
        <f t="shared" si="19"/>
        <v>0</v>
      </c>
      <c r="U45" s="565">
        <v>0</v>
      </c>
      <c r="V45" s="441">
        <f t="shared" si="20"/>
        <v>0</v>
      </c>
      <c r="W45" s="173">
        <v>3497</v>
      </c>
      <c r="X45" s="441">
        <f t="shared" si="21"/>
        <v>1.7692532935825351</v>
      </c>
      <c r="Y45" s="565">
        <v>0</v>
      </c>
      <c r="Z45" s="441">
        <f t="shared" si="22"/>
        <v>0</v>
      </c>
      <c r="AA45" s="565">
        <v>0</v>
      </c>
      <c r="AB45" s="441">
        <f t="shared" si="23"/>
        <v>0</v>
      </c>
      <c r="AC45" s="565">
        <v>0</v>
      </c>
      <c r="AD45" s="441">
        <f t="shared" si="24"/>
        <v>0</v>
      </c>
      <c r="AE45" s="576">
        <f t="shared" si="13"/>
        <v>14248</v>
      </c>
    </row>
    <row r="46" spans="1:31" ht="8.25">
      <c r="A46" s="222" t="s">
        <v>468</v>
      </c>
      <c r="B46" s="29" t="s">
        <v>483</v>
      </c>
      <c r="C46" s="446">
        <v>21</v>
      </c>
      <c r="D46" s="446">
        <v>287</v>
      </c>
      <c r="E46" s="33">
        <v>0.001324041811846674</v>
      </c>
      <c r="F46" s="54">
        <f t="shared" si="14"/>
        <v>6.814263542988844</v>
      </c>
      <c r="G46" s="50">
        <v>6.48</v>
      </c>
      <c r="H46" s="568">
        <v>2003</v>
      </c>
      <c r="I46" s="576">
        <f t="shared" si="27"/>
        <v>14248</v>
      </c>
      <c r="J46" s="50">
        <f t="shared" si="15"/>
        <v>2.8007236152072843</v>
      </c>
      <c r="K46" s="50">
        <f t="shared" si="16"/>
        <v>6.174599869632815</v>
      </c>
      <c r="L46" s="107">
        <f t="shared" si="25"/>
        <v>6.814263542988844</v>
      </c>
      <c r="M46" s="416">
        <v>9883</v>
      </c>
      <c r="N46" s="50">
        <f t="shared" si="26"/>
        <v>5.000151644402687</v>
      </c>
      <c r="O46" s="565">
        <v>868</v>
      </c>
      <c r="P46" s="441">
        <f t="shared" si="17"/>
        <v>0.4391512321503118</v>
      </c>
      <c r="Q46" s="565">
        <v>0</v>
      </c>
      <c r="R46" s="441">
        <f t="shared" si="18"/>
        <v>0</v>
      </c>
      <c r="S46" s="565">
        <v>0</v>
      </c>
      <c r="T46" s="441">
        <f t="shared" si="19"/>
        <v>0</v>
      </c>
      <c r="U46" s="565">
        <v>0</v>
      </c>
      <c r="V46" s="441">
        <f t="shared" si="20"/>
        <v>0</v>
      </c>
      <c r="W46" s="173">
        <v>3497</v>
      </c>
      <c r="X46" s="441">
        <f t="shared" si="21"/>
        <v>1.7692532935825351</v>
      </c>
      <c r="Y46" s="565">
        <v>0</v>
      </c>
      <c r="Z46" s="441">
        <f t="shared" si="22"/>
        <v>0</v>
      </c>
      <c r="AA46" s="565">
        <v>0</v>
      </c>
      <c r="AB46" s="441">
        <f t="shared" si="23"/>
        <v>0</v>
      </c>
      <c r="AC46" s="565">
        <v>0</v>
      </c>
      <c r="AD46" s="441">
        <f t="shared" si="24"/>
        <v>0</v>
      </c>
      <c r="AE46" s="576">
        <f t="shared" si="13"/>
        <v>14248</v>
      </c>
    </row>
    <row r="47" spans="1:31" ht="8.25">
      <c r="A47" s="222" t="s">
        <v>468</v>
      </c>
      <c r="C47" s="446">
        <v>21</v>
      </c>
      <c r="D47" s="446">
        <v>254</v>
      </c>
      <c r="E47" s="33">
        <v>0.001338582677165032</v>
      </c>
      <c r="F47" s="54">
        <f t="shared" si="14"/>
        <v>6.851579105103884</v>
      </c>
      <c r="G47" s="50">
        <v>6.48</v>
      </c>
      <c r="H47" s="568">
        <v>2003</v>
      </c>
      <c r="I47" s="576">
        <f t="shared" si="27"/>
        <v>14248</v>
      </c>
      <c r="J47" s="50">
        <f t="shared" si="15"/>
        <v>2.8007236152072843</v>
      </c>
      <c r="K47" s="50">
        <f t="shared" si="16"/>
        <v>6.174599869632815</v>
      </c>
      <c r="L47" s="107">
        <f t="shared" si="25"/>
        <v>6.851579105103884</v>
      </c>
      <c r="M47" s="416">
        <v>9883</v>
      </c>
      <c r="N47" s="50">
        <f t="shared" si="26"/>
        <v>5.000151644402687</v>
      </c>
      <c r="O47" s="565">
        <v>868</v>
      </c>
      <c r="P47" s="441">
        <f t="shared" si="17"/>
        <v>0.4391512321503118</v>
      </c>
      <c r="Q47" s="565">
        <v>0</v>
      </c>
      <c r="R47" s="441">
        <f t="shared" si="18"/>
        <v>0</v>
      </c>
      <c r="S47" s="565">
        <v>0</v>
      </c>
      <c r="T47" s="441">
        <f t="shared" si="19"/>
        <v>0</v>
      </c>
      <c r="U47" s="565">
        <v>0</v>
      </c>
      <c r="V47" s="441">
        <f t="shared" si="20"/>
        <v>0</v>
      </c>
      <c r="W47" s="173">
        <v>3497</v>
      </c>
      <c r="X47" s="441">
        <f t="shared" si="21"/>
        <v>1.7692532935825351</v>
      </c>
      <c r="Y47" s="565">
        <v>0</v>
      </c>
      <c r="Z47" s="441">
        <f t="shared" si="22"/>
        <v>0</v>
      </c>
      <c r="AA47" s="565">
        <v>0</v>
      </c>
      <c r="AB47" s="441">
        <f t="shared" si="23"/>
        <v>0</v>
      </c>
      <c r="AC47" s="565">
        <v>0</v>
      </c>
      <c r="AD47" s="441">
        <f t="shared" si="24"/>
        <v>0</v>
      </c>
      <c r="AE47" s="576">
        <f t="shared" si="13"/>
        <v>14248</v>
      </c>
    </row>
    <row r="48" spans="1:31" ht="8.25">
      <c r="A48" s="222" t="s">
        <v>468</v>
      </c>
      <c r="B48" s="29" t="s">
        <v>487</v>
      </c>
      <c r="C48" s="446">
        <v>21</v>
      </c>
      <c r="D48" s="446">
        <v>232</v>
      </c>
      <c r="E48" s="33">
        <v>0.001939655172413989</v>
      </c>
      <c r="F48" s="54">
        <f t="shared" si="14"/>
        <v>8.247652234851396</v>
      </c>
      <c r="G48" s="50">
        <v>6.48</v>
      </c>
      <c r="H48" s="568">
        <v>2003</v>
      </c>
      <c r="I48" s="576">
        <f t="shared" si="27"/>
        <v>14248</v>
      </c>
      <c r="J48" s="50">
        <f t="shared" si="15"/>
        <v>2.8007236152072843</v>
      </c>
      <c r="K48" s="50">
        <f t="shared" si="16"/>
        <v>6.174599869632815</v>
      </c>
      <c r="L48" s="107">
        <f t="shared" si="25"/>
        <v>8.247652234851396</v>
      </c>
      <c r="M48" s="416">
        <v>9883</v>
      </c>
      <c r="N48" s="50">
        <f t="shared" si="26"/>
        <v>5.000151644402687</v>
      </c>
      <c r="O48" s="565">
        <v>868</v>
      </c>
      <c r="P48" s="441">
        <f t="shared" si="17"/>
        <v>0.4391512321503118</v>
      </c>
      <c r="Q48" s="565">
        <v>0</v>
      </c>
      <c r="R48" s="441">
        <f t="shared" si="18"/>
        <v>0</v>
      </c>
      <c r="S48" s="565">
        <v>0</v>
      </c>
      <c r="T48" s="441">
        <f t="shared" si="19"/>
        <v>0</v>
      </c>
      <c r="U48" s="565">
        <v>0</v>
      </c>
      <c r="V48" s="441">
        <f t="shared" si="20"/>
        <v>0</v>
      </c>
      <c r="W48" s="173">
        <v>3497</v>
      </c>
      <c r="X48" s="441">
        <f t="shared" si="21"/>
        <v>1.7692532935825351</v>
      </c>
      <c r="Y48" s="565">
        <v>0</v>
      </c>
      <c r="Z48" s="441">
        <f t="shared" si="22"/>
        <v>0</v>
      </c>
      <c r="AA48" s="565">
        <v>0</v>
      </c>
      <c r="AB48" s="441">
        <f t="shared" si="23"/>
        <v>0</v>
      </c>
      <c r="AC48" s="565">
        <v>0</v>
      </c>
      <c r="AD48" s="441">
        <f t="shared" si="24"/>
        <v>0</v>
      </c>
      <c r="AE48" s="576">
        <f t="shared" si="13"/>
        <v>14248</v>
      </c>
    </row>
    <row r="49" spans="1:31" ht="8.25">
      <c r="A49" s="222" t="s">
        <v>468</v>
      </c>
      <c r="C49" s="446">
        <v>21</v>
      </c>
      <c r="D49" s="446">
        <v>252</v>
      </c>
      <c r="E49" s="33">
        <v>0.0007539682539680194</v>
      </c>
      <c r="F49" s="54">
        <f t="shared" si="14"/>
        <v>5.142148401210298</v>
      </c>
      <c r="G49" s="50">
        <v>9.26</v>
      </c>
      <c r="H49" s="568">
        <v>2003</v>
      </c>
      <c r="I49" s="576">
        <f t="shared" si="27"/>
        <v>16370</v>
      </c>
      <c r="J49" s="50">
        <f t="shared" si="15"/>
        <v>2.7399981286566115</v>
      </c>
      <c r="K49" s="50">
        <f t="shared" si="16"/>
        <v>6.940385683753703</v>
      </c>
      <c r="L49" s="107">
        <f t="shared" si="25"/>
        <v>5.142148401210298</v>
      </c>
      <c r="M49" s="416">
        <f>M48+385+1737</f>
        <v>12005</v>
      </c>
      <c r="N49" s="50">
        <f t="shared" si="26"/>
        <v>6.073744864014394</v>
      </c>
      <c r="O49" s="565">
        <v>868</v>
      </c>
      <c r="P49" s="441">
        <f t="shared" si="17"/>
        <v>0.4391512321503118</v>
      </c>
      <c r="Q49" s="565">
        <v>0</v>
      </c>
      <c r="R49" s="441">
        <f t="shared" si="18"/>
        <v>0</v>
      </c>
      <c r="S49" s="565">
        <v>0</v>
      </c>
      <c r="T49" s="441">
        <f t="shared" si="19"/>
        <v>0</v>
      </c>
      <c r="U49" s="565">
        <v>0</v>
      </c>
      <c r="V49" s="441">
        <f t="shared" si="20"/>
        <v>0</v>
      </c>
      <c r="W49" s="173">
        <v>3497</v>
      </c>
      <c r="X49" s="441">
        <f t="shared" si="21"/>
        <v>1.7692532935825351</v>
      </c>
      <c r="Y49" s="565">
        <v>0</v>
      </c>
      <c r="Z49" s="441">
        <f t="shared" si="22"/>
        <v>0</v>
      </c>
      <c r="AA49" s="565">
        <v>0</v>
      </c>
      <c r="AB49" s="441">
        <f t="shared" si="23"/>
        <v>0</v>
      </c>
      <c r="AC49" s="565">
        <v>0</v>
      </c>
      <c r="AD49" s="441">
        <f t="shared" si="24"/>
        <v>0</v>
      </c>
      <c r="AE49" s="576">
        <f t="shared" si="13"/>
        <v>16370</v>
      </c>
    </row>
    <row r="50" spans="1:31" ht="8.25">
      <c r="A50" s="222" t="s">
        <v>468</v>
      </c>
      <c r="C50" s="446">
        <v>21</v>
      </c>
      <c r="D50" s="446">
        <v>274</v>
      </c>
      <c r="E50" s="33">
        <v>0.0011678832116790146</v>
      </c>
      <c r="F50" s="54">
        <f t="shared" si="14"/>
        <v>6.399820361184554</v>
      </c>
      <c r="G50" s="50">
        <v>9.26</v>
      </c>
      <c r="H50" s="568">
        <v>2003</v>
      </c>
      <c r="I50" s="576">
        <f t="shared" si="27"/>
        <v>16370</v>
      </c>
      <c r="J50" s="50">
        <f t="shared" si="15"/>
        <v>2.7399981286566115</v>
      </c>
      <c r="K50" s="50">
        <f t="shared" si="16"/>
        <v>6.940385683753703</v>
      </c>
      <c r="L50" s="107">
        <f t="shared" si="25"/>
        <v>6.399820361184554</v>
      </c>
      <c r="M50" s="416">
        <v>12005</v>
      </c>
      <c r="N50" s="50">
        <f t="shared" si="26"/>
        <v>6.073744864014394</v>
      </c>
      <c r="O50" s="565">
        <v>868</v>
      </c>
      <c r="P50" s="441">
        <f t="shared" si="17"/>
        <v>0.4391512321503118</v>
      </c>
      <c r="Q50" s="565">
        <v>0</v>
      </c>
      <c r="R50" s="441">
        <f t="shared" si="18"/>
        <v>0</v>
      </c>
      <c r="S50" s="565">
        <v>0</v>
      </c>
      <c r="T50" s="441">
        <f t="shared" si="19"/>
        <v>0</v>
      </c>
      <c r="U50" s="565">
        <v>0</v>
      </c>
      <c r="V50" s="441">
        <f t="shared" si="20"/>
        <v>0</v>
      </c>
      <c r="W50" s="173">
        <v>3497</v>
      </c>
      <c r="X50" s="441">
        <f t="shared" si="21"/>
        <v>1.7692532935825351</v>
      </c>
      <c r="Y50" s="565">
        <v>0</v>
      </c>
      <c r="Z50" s="441">
        <f t="shared" si="22"/>
        <v>0</v>
      </c>
      <c r="AA50" s="565">
        <v>0</v>
      </c>
      <c r="AB50" s="441">
        <f t="shared" si="23"/>
        <v>0</v>
      </c>
      <c r="AC50" s="565">
        <v>0</v>
      </c>
      <c r="AD50" s="441">
        <f t="shared" si="24"/>
        <v>0</v>
      </c>
      <c r="AE50" s="576">
        <f t="shared" si="13"/>
        <v>16370</v>
      </c>
    </row>
    <row r="51" spans="1:31" ht="8.25">
      <c r="A51" s="222" t="s">
        <v>468</v>
      </c>
      <c r="C51" s="446">
        <v>21</v>
      </c>
      <c r="D51" s="446">
        <v>268</v>
      </c>
      <c r="E51" s="33">
        <v>0.0012686567164180292</v>
      </c>
      <c r="F51" s="54">
        <f t="shared" si="14"/>
        <v>6.670219682242346</v>
      </c>
      <c r="G51" s="50">
        <v>9.26</v>
      </c>
      <c r="H51" s="568">
        <v>2003</v>
      </c>
      <c r="I51" s="576">
        <f t="shared" si="27"/>
        <v>16370</v>
      </c>
      <c r="J51" s="50">
        <f t="shared" si="15"/>
        <v>2.7399981286566115</v>
      </c>
      <c r="K51" s="50">
        <f t="shared" si="16"/>
        <v>6.940385683753703</v>
      </c>
      <c r="L51" s="107">
        <f t="shared" si="25"/>
        <v>6.670219682242346</v>
      </c>
      <c r="M51" s="416">
        <v>12005</v>
      </c>
      <c r="N51" s="50">
        <f t="shared" si="26"/>
        <v>6.073744864014394</v>
      </c>
      <c r="O51" s="565">
        <v>868</v>
      </c>
      <c r="P51" s="441">
        <f t="shared" si="17"/>
        <v>0.4391512321503118</v>
      </c>
      <c r="Q51" s="565">
        <v>0</v>
      </c>
      <c r="R51" s="441">
        <f t="shared" si="18"/>
        <v>0</v>
      </c>
      <c r="S51" s="565">
        <v>0</v>
      </c>
      <c r="T51" s="441">
        <f t="shared" si="19"/>
        <v>0</v>
      </c>
      <c r="U51" s="565">
        <v>0</v>
      </c>
      <c r="V51" s="441">
        <f t="shared" si="20"/>
        <v>0</v>
      </c>
      <c r="W51" s="173">
        <v>3497</v>
      </c>
      <c r="X51" s="441">
        <f t="shared" si="21"/>
        <v>1.7692532935825351</v>
      </c>
      <c r="Y51" s="565">
        <v>0</v>
      </c>
      <c r="Z51" s="441">
        <f t="shared" si="22"/>
        <v>0</v>
      </c>
      <c r="AA51" s="565">
        <v>0</v>
      </c>
      <c r="AB51" s="441">
        <f t="shared" si="23"/>
        <v>0</v>
      </c>
      <c r="AC51" s="565">
        <v>0</v>
      </c>
      <c r="AD51" s="441">
        <f t="shared" si="24"/>
        <v>0</v>
      </c>
      <c r="AE51" s="576">
        <f t="shared" si="13"/>
        <v>16370</v>
      </c>
    </row>
    <row r="52" spans="1:31" ht="8.25">
      <c r="A52" s="222" t="s">
        <v>468</v>
      </c>
      <c r="B52" s="29" t="s">
        <v>484</v>
      </c>
      <c r="C52" s="446">
        <v>21</v>
      </c>
      <c r="D52" s="446">
        <v>140</v>
      </c>
      <c r="E52" s="33">
        <v>0.0011428571428569155</v>
      </c>
      <c r="F52" s="54">
        <f t="shared" si="14"/>
        <v>6.3308795314216155</v>
      </c>
      <c r="G52" s="50">
        <v>9.26</v>
      </c>
      <c r="H52" s="568">
        <v>2003</v>
      </c>
      <c r="I52" s="576">
        <f t="shared" si="27"/>
        <v>16370</v>
      </c>
      <c r="J52" s="50">
        <f t="shared" si="15"/>
        <v>2.7399981286566115</v>
      </c>
      <c r="K52" s="50">
        <f t="shared" si="16"/>
        <v>6.940385683753703</v>
      </c>
      <c r="L52" s="107">
        <f t="shared" si="25"/>
        <v>6.3308795314216155</v>
      </c>
      <c r="M52" s="416">
        <v>12005</v>
      </c>
      <c r="N52" s="50">
        <f t="shared" si="26"/>
        <v>6.073744864014394</v>
      </c>
      <c r="O52" s="565">
        <v>868</v>
      </c>
      <c r="P52" s="441">
        <f t="shared" si="17"/>
        <v>0.4391512321503118</v>
      </c>
      <c r="Q52" s="565">
        <v>0</v>
      </c>
      <c r="R52" s="441">
        <f t="shared" si="18"/>
        <v>0</v>
      </c>
      <c r="S52" s="565">
        <v>0</v>
      </c>
      <c r="T52" s="441">
        <f t="shared" si="19"/>
        <v>0</v>
      </c>
      <c r="U52" s="565">
        <v>0</v>
      </c>
      <c r="V52" s="441">
        <f t="shared" si="20"/>
        <v>0</v>
      </c>
      <c r="W52" s="173">
        <v>3497</v>
      </c>
      <c r="X52" s="441">
        <f t="shared" si="21"/>
        <v>1.7692532935825351</v>
      </c>
      <c r="Y52" s="565">
        <v>0</v>
      </c>
      <c r="Z52" s="441">
        <f t="shared" si="22"/>
        <v>0</v>
      </c>
      <c r="AA52" s="565">
        <v>0</v>
      </c>
      <c r="AB52" s="441">
        <f t="shared" si="23"/>
        <v>0</v>
      </c>
      <c r="AC52" s="565">
        <v>0</v>
      </c>
      <c r="AD52" s="441">
        <f t="shared" si="24"/>
        <v>0</v>
      </c>
      <c r="AE52" s="576">
        <f t="shared" si="13"/>
        <v>16370</v>
      </c>
    </row>
    <row r="53" spans="1:31" ht="8.25">
      <c r="A53" s="222" t="s">
        <v>468</v>
      </c>
      <c r="C53" s="446">
        <v>21</v>
      </c>
      <c r="D53" s="446">
        <v>332</v>
      </c>
      <c r="E53" s="33">
        <v>0.0012349397590360486</v>
      </c>
      <c r="F53" s="54">
        <f t="shared" si="14"/>
        <v>6.580985933922291</v>
      </c>
      <c r="G53" s="50">
        <v>9.26</v>
      </c>
      <c r="H53" s="568">
        <v>2003</v>
      </c>
      <c r="I53" s="576">
        <f t="shared" si="27"/>
        <v>16370</v>
      </c>
      <c r="J53" s="50">
        <f t="shared" si="15"/>
        <v>2.7399981286566115</v>
      </c>
      <c r="K53" s="50">
        <f t="shared" si="16"/>
        <v>6.940385683753703</v>
      </c>
      <c r="L53" s="107">
        <f t="shared" si="25"/>
        <v>6.580985933922291</v>
      </c>
      <c r="M53" s="416">
        <v>12005</v>
      </c>
      <c r="N53" s="50">
        <f t="shared" si="26"/>
        <v>6.073744864014394</v>
      </c>
      <c r="O53" s="565">
        <v>868</v>
      </c>
      <c r="P53" s="441">
        <f t="shared" si="17"/>
        <v>0.4391512321503118</v>
      </c>
      <c r="Q53" s="565">
        <v>0</v>
      </c>
      <c r="R53" s="441">
        <f t="shared" si="18"/>
        <v>0</v>
      </c>
      <c r="S53" s="565">
        <v>0</v>
      </c>
      <c r="T53" s="441">
        <f t="shared" si="19"/>
        <v>0</v>
      </c>
      <c r="U53" s="565">
        <v>0</v>
      </c>
      <c r="V53" s="441">
        <f t="shared" si="20"/>
        <v>0</v>
      </c>
      <c r="W53" s="173">
        <v>3497</v>
      </c>
      <c r="X53" s="441">
        <f t="shared" si="21"/>
        <v>1.7692532935825351</v>
      </c>
      <c r="Y53" s="565">
        <v>0</v>
      </c>
      <c r="Z53" s="441">
        <f t="shared" si="22"/>
        <v>0</v>
      </c>
      <c r="AA53" s="565">
        <v>0</v>
      </c>
      <c r="AB53" s="441">
        <f t="shared" si="23"/>
        <v>0</v>
      </c>
      <c r="AC53" s="565">
        <v>0</v>
      </c>
      <c r="AD53" s="441">
        <f t="shared" si="24"/>
        <v>0</v>
      </c>
      <c r="AE53" s="576">
        <f t="shared" si="13"/>
        <v>16370</v>
      </c>
    </row>
    <row r="54" spans="1:31" ht="8.25">
      <c r="A54" s="222" t="s">
        <v>468</v>
      </c>
      <c r="C54" s="446">
        <v>21</v>
      </c>
      <c r="D54" s="446">
        <v>34</v>
      </c>
      <c r="E54" s="33">
        <v>0.0011764705882375678</v>
      </c>
      <c r="F54" s="54">
        <f t="shared" si="14"/>
        <v>6.423306019422442</v>
      </c>
      <c r="G54" s="50">
        <v>9.26</v>
      </c>
      <c r="H54" s="568">
        <v>2003</v>
      </c>
      <c r="I54" s="576">
        <f t="shared" si="27"/>
        <v>16370</v>
      </c>
      <c r="J54" s="50">
        <f t="shared" si="15"/>
        <v>2.7399981286566115</v>
      </c>
      <c r="K54" s="50">
        <f t="shared" si="16"/>
        <v>6.940385683753703</v>
      </c>
      <c r="L54" s="107">
        <f t="shared" si="25"/>
        <v>6.423306019422442</v>
      </c>
      <c r="M54" s="416">
        <v>12005</v>
      </c>
      <c r="N54" s="50">
        <f t="shared" si="26"/>
        <v>6.073744864014394</v>
      </c>
      <c r="O54" s="565">
        <v>868</v>
      </c>
      <c r="P54" s="441">
        <f t="shared" si="17"/>
        <v>0.4391512321503118</v>
      </c>
      <c r="Q54" s="565">
        <v>0</v>
      </c>
      <c r="R54" s="441">
        <f t="shared" si="18"/>
        <v>0</v>
      </c>
      <c r="S54" s="565">
        <v>0</v>
      </c>
      <c r="T54" s="441">
        <f t="shared" si="19"/>
        <v>0</v>
      </c>
      <c r="U54" s="565">
        <v>0</v>
      </c>
      <c r="V54" s="441">
        <f t="shared" si="20"/>
        <v>0</v>
      </c>
      <c r="W54" s="173">
        <v>3497</v>
      </c>
      <c r="X54" s="441">
        <f t="shared" si="21"/>
        <v>1.7692532935825351</v>
      </c>
      <c r="Y54" s="565">
        <v>0</v>
      </c>
      <c r="Z54" s="441">
        <f t="shared" si="22"/>
        <v>0</v>
      </c>
      <c r="AA54" s="565">
        <v>0</v>
      </c>
      <c r="AB54" s="441">
        <f t="shared" si="23"/>
        <v>0</v>
      </c>
      <c r="AC54" s="565">
        <v>0</v>
      </c>
      <c r="AD54" s="441">
        <f t="shared" si="24"/>
        <v>0</v>
      </c>
      <c r="AE54" s="576">
        <f t="shared" si="13"/>
        <v>16370</v>
      </c>
    </row>
    <row r="55" spans="1:31" ht="8.25">
      <c r="A55" s="222" t="s">
        <v>469</v>
      </c>
      <c r="B55" s="29" t="s">
        <v>468</v>
      </c>
      <c r="C55" s="446">
        <v>21</v>
      </c>
      <c r="D55" s="446">
        <v>147</v>
      </c>
      <c r="E55" s="33">
        <v>0.0013605442176873842</v>
      </c>
      <c r="F55" s="54">
        <f t="shared" si="14"/>
        <v>6.9075558734267375</v>
      </c>
      <c r="G55" s="50">
        <v>9.26</v>
      </c>
      <c r="H55" s="568">
        <v>2003</v>
      </c>
      <c r="I55" s="576">
        <f t="shared" si="27"/>
        <v>16370</v>
      </c>
      <c r="J55" s="50">
        <f t="shared" si="15"/>
        <v>2.7399981286566115</v>
      </c>
      <c r="K55" s="50">
        <f t="shared" si="16"/>
        <v>6.940385683753703</v>
      </c>
      <c r="L55" s="107">
        <f t="shared" si="25"/>
        <v>6.9075558734267375</v>
      </c>
      <c r="M55" s="416">
        <v>12005</v>
      </c>
      <c r="N55" s="50">
        <f t="shared" si="26"/>
        <v>6.073744864014394</v>
      </c>
      <c r="O55" s="565">
        <v>868</v>
      </c>
      <c r="P55" s="441">
        <f t="shared" si="17"/>
        <v>0.4391512321503118</v>
      </c>
      <c r="Q55" s="565">
        <v>0</v>
      </c>
      <c r="R55" s="441">
        <f t="shared" si="18"/>
        <v>0</v>
      </c>
      <c r="S55" s="565">
        <v>0</v>
      </c>
      <c r="T55" s="441">
        <f t="shared" si="19"/>
        <v>0</v>
      </c>
      <c r="U55" s="565">
        <v>0</v>
      </c>
      <c r="V55" s="441">
        <f t="shared" si="20"/>
        <v>0</v>
      </c>
      <c r="W55" s="173">
        <v>3497</v>
      </c>
      <c r="X55" s="441">
        <f t="shared" si="21"/>
        <v>1.7692532935825351</v>
      </c>
      <c r="Y55" s="565">
        <v>0</v>
      </c>
      <c r="Z55" s="441">
        <f t="shared" si="22"/>
        <v>0</v>
      </c>
      <c r="AA55" s="565">
        <v>0</v>
      </c>
      <c r="AB55" s="441">
        <f t="shared" si="23"/>
        <v>0</v>
      </c>
      <c r="AC55" s="565">
        <v>0</v>
      </c>
      <c r="AD55" s="441">
        <f t="shared" si="24"/>
        <v>0</v>
      </c>
      <c r="AE55" s="576">
        <f t="shared" si="13"/>
        <v>16370</v>
      </c>
    </row>
    <row r="56" spans="1:31" ht="8.25">
      <c r="A56" s="222" t="s">
        <v>469</v>
      </c>
      <c r="C56" s="446">
        <v>21</v>
      </c>
      <c r="D56" s="446">
        <v>117</v>
      </c>
      <c r="E56" s="33">
        <v>0.0010256410256410645</v>
      </c>
      <c r="F56" s="54">
        <f t="shared" si="14"/>
        <v>5.997438015943725</v>
      </c>
      <c r="G56" s="50">
        <v>9.26</v>
      </c>
      <c r="H56" s="568">
        <v>2003</v>
      </c>
      <c r="I56" s="576">
        <f t="shared" si="27"/>
        <v>16370</v>
      </c>
      <c r="J56" s="50">
        <f t="shared" si="15"/>
        <v>2.7399981286566115</v>
      </c>
      <c r="K56" s="50">
        <f t="shared" si="16"/>
        <v>6.940385683753703</v>
      </c>
      <c r="L56" s="107">
        <f t="shared" si="25"/>
        <v>5.997438015943725</v>
      </c>
      <c r="M56" s="416">
        <v>12005</v>
      </c>
      <c r="N56" s="50">
        <f t="shared" si="26"/>
        <v>6.073744864014394</v>
      </c>
      <c r="O56" s="565">
        <v>868</v>
      </c>
      <c r="P56" s="441">
        <f t="shared" si="17"/>
        <v>0.4391512321503118</v>
      </c>
      <c r="Q56" s="565">
        <v>0</v>
      </c>
      <c r="R56" s="441">
        <f t="shared" si="18"/>
        <v>0</v>
      </c>
      <c r="S56" s="565">
        <v>0</v>
      </c>
      <c r="T56" s="441">
        <f t="shared" si="19"/>
        <v>0</v>
      </c>
      <c r="U56" s="565">
        <v>0</v>
      </c>
      <c r="V56" s="441">
        <f t="shared" si="20"/>
        <v>0</v>
      </c>
      <c r="W56" s="173">
        <v>3497</v>
      </c>
      <c r="X56" s="441">
        <f t="shared" si="21"/>
        <v>1.7692532935825351</v>
      </c>
      <c r="Y56" s="565">
        <v>0</v>
      </c>
      <c r="Z56" s="441">
        <f t="shared" si="22"/>
        <v>0</v>
      </c>
      <c r="AA56" s="565">
        <v>0</v>
      </c>
      <c r="AB56" s="441">
        <f t="shared" si="23"/>
        <v>0</v>
      </c>
      <c r="AC56" s="565">
        <v>0</v>
      </c>
      <c r="AD56" s="441">
        <f t="shared" si="24"/>
        <v>0</v>
      </c>
      <c r="AE56" s="576">
        <f t="shared" si="13"/>
        <v>16370</v>
      </c>
    </row>
    <row r="57" spans="1:31" ht="8.25">
      <c r="A57" s="222" t="s">
        <v>469</v>
      </c>
      <c r="C57" s="446">
        <v>21</v>
      </c>
      <c r="D57" s="446">
        <v>137</v>
      </c>
      <c r="E57" s="33">
        <v>0.001313868613139151</v>
      </c>
      <c r="F57" s="54">
        <f t="shared" si="14"/>
        <v>6.788034563654676</v>
      </c>
      <c r="G57" s="50">
        <v>9.26</v>
      </c>
      <c r="H57" s="568">
        <v>2003</v>
      </c>
      <c r="I57" s="576">
        <f t="shared" si="27"/>
        <v>16370</v>
      </c>
      <c r="J57" s="50">
        <f t="shared" si="15"/>
        <v>2.7399981286566115</v>
      </c>
      <c r="K57" s="50">
        <f t="shared" si="16"/>
        <v>6.940385683753703</v>
      </c>
      <c r="L57" s="107">
        <f t="shared" si="25"/>
        <v>6.788034563654676</v>
      </c>
      <c r="M57" s="416">
        <v>12005</v>
      </c>
      <c r="N57" s="50">
        <f t="shared" si="26"/>
        <v>6.073744864014394</v>
      </c>
      <c r="O57" s="565">
        <v>868</v>
      </c>
      <c r="P57" s="441">
        <f t="shared" si="17"/>
        <v>0.4391512321503118</v>
      </c>
      <c r="Q57" s="565">
        <v>0</v>
      </c>
      <c r="R57" s="441">
        <f t="shared" si="18"/>
        <v>0</v>
      </c>
      <c r="S57" s="565">
        <v>0</v>
      </c>
      <c r="T57" s="441">
        <f t="shared" si="19"/>
        <v>0</v>
      </c>
      <c r="U57" s="565">
        <v>0</v>
      </c>
      <c r="V57" s="441">
        <f t="shared" si="20"/>
        <v>0</v>
      </c>
      <c r="W57" s="173">
        <v>3497</v>
      </c>
      <c r="X57" s="441">
        <f t="shared" si="21"/>
        <v>1.7692532935825351</v>
      </c>
      <c r="Y57" s="565">
        <v>0</v>
      </c>
      <c r="Z57" s="441">
        <f t="shared" si="22"/>
        <v>0</v>
      </c>
      <c r="AA57" s="565">
        <v>0</v>
      </c>
      <c r="AB57" s="441">
        <f t="shared" si="23"/>
        <v>0</v>
      </c>
      <c r="AC57" s="565">
        <v>0</v>
      </c>
      <c r="AD57" s="441">
        <f t="shared" si="24"/>
        <v>0</v>
      </c>
      <c r="AE57" s="576">
        <f t="shared" si="13"/>
        <v>16370</v>
      </c>
    </row>
    <row r="58" spans="1:31" ht="8.25">
      <c r="A58" s="222" t="s">
        <v>469</v>
      </c>
      <c r="C58" s="446">
        <v>21</v>
      </c>
      <c r="D58" s="446">
        <v>117</v>
      </c>
      <c r="E58" s="33">
        <v>0.0013675213675210954</v>
      </c>
      <c r="F58" s="54">
        <f t="shared" si="14"/>
        <v>6.92524490590559</v>
      </c>
      <c r="G58" s="50">
        <v>9.26</v>
      </c>
      <c r="H58" s="568">
        <v>2003</v>
      </c>
      <c r="I58" s="576">
        <f t="shared" si="27"/>
        <v>16370</v>
      </c>
      <c r="J58" s="50">
        <f t="shared" si="15"/>
        <v>2.7399981286566115</v>
      </c>
      <c r="K58" s="50">
        <f t="shared" si="16"/>
        <v>6.940385683753703</v>
      </c>
      <c r="L58" s="107">
        <f t="shared" si="25"/>
        <v>6.92524490590559</v>
      </c>
      <c r="M58" s="416">
        <v>12005</v>
      </c>
      <c r="N58" s="50">
        <f t="shared" si="26"/>
        <v>6.073744864014394</v>
      </c>
      <c r="O58" s="565">
        <v>868</v>
      </c>
      <c r="P58" s="441">
        <f t="shared" si="17"/>
        <v>0.4391512321503118</v>
      </c>
      <c r="Q58" s="565">
        <v>0</v>
      </c>
      <c r="R58" s="441">
        <f t="shared" si="18"/>
        <v>0</v>
      </c>
      <c r="S58" s="565">
        <v>0</v>
      </c>
      <c r="T58" s="441">
        <f t="shared" si="19"/>
        <v>0</v>
      </c>
      <c r="U58" s="565">
        <v>0</v>
      </c>
      <c r="V58" s="441">
        <f t="shared" si="20"/>
        <v>0</v>
      </c>
      <c r="W58" s="173">
        <v>3497</v>
      </c>
      <c r="X58" s="441">
        <f t="shared" si="21"/>
        <v>1.7692532935825351</v>
      </c>
      <c r="Y58" s="565">
        <v>0</v>
      </c>
      <c r="Z58" s="441">
        <f t="shared" si="22"/>
        <v>0</v>
      </c>
      <c r="AA58" s="565">
        <v>0</v>
      </c>
      <c r="AB58" s="441">
        <f t="shared" si="23"/>
        <v>0</v>
      </c>
      <c r="AC58" s="565">
        <v>0</v>
      </c>
      <c r="AD58" s="441">
        <f t="shared" si="24"/>
        <v>0</v>
      </c>
      <c r="AE58" s="576">
        <f t="shared" si="13"/>
        <v>16370</v>
      </c>
    </row>
    <row r="59" spans="1:31" ht="8.25">
      <c r="A59" s="222" t="s">
        <v>260</v>
      </c>
      <c r="B59" s="29" t="s">
        <v>469</v>
      </c>
      <c r="C59" s="446">
        <v>21</v>
      </c>
      <c r="D59" s="446">
        <v>390</v>
      </c>
      <c r="E59" s="33">
        <v>0.0012307692307692774</v>
      </c>
      <c r="F59" s="54">
        <f t="shared" si="14"/>
        <v>6.569864177142814</v>
      </c>
      <c r="G59" s="50">
        <v>9.26</v>
      </c>
      <c r="H59" s="568">
        <v>2003</v>
      </c>
      <c r="I59" s="576">
        <f t="shared" si="27"/>
        <v>16370</v>
      </c>
      <c r="J59" s="50">
        <f t="shared" si="15"/>
        <v>2.7399981286566115</v>
      </c>
      <c r="K59" s="50">
        <f t="shared" si="16"/>
        <v>6.940385683753703</v>
      </c>
      <c r="L59" s="107">
        <f t="shared" si="25"/>
        <v>6.569864177142814</v>
      </c>
      <c r="M59" s="416">
        <v>12005</v>
      </c>
      <c r="N59" s="50">
        <f t="shared" si="26"/>
        <v>6.073744864014394</v>
      </c>
      <c r="O59" s="565">
        <v>868</v>
      </c>
      <c r="P59" s="441">
        <f t="shared" si="17"/>
        <v>0.4391512321503118</v>
      </c>
      <c r="Q59" s="565">
        <v>0</v>
      </c>
      <c r="R59" s="441">
        <f t="shared" si="18"/>
        <v>0</v>
      </c>
      <c r="S59" s="565">
        <v>0</v>
      </c>
      <c r="T59" s="441">
        <f t="shared" si="19"/>
        <v>0</v>
      </c>
      <c r="U59" s="565">
        <v>0</v>
      </c>
      <c r="V59" s="441">
        <f t="shared" si="20"/>
        <v>0</v>
      </c>
      <c r="W59" s="173">
        <v>3497</v>
      </c>
      <c r="X59" s="441">
        <f t="shared" si="21"/>
        <v>1.7692532935825351</v>
      </c>
      <c r="Y59" s="565">
        <v>0</v>
      </c>
      <c r="Z59" s="441">
        <f t="shared" si="22"/>
        <v>0</v>
      </c>
      <c r="AA59" s="565">
        <v>0</v>
      </c>
      <c r="AB59" s="441">
        <f t="shared" si="23"/>
        <v>0</v>
      </c>
      <c r="AC59" s="565">
        <v>0</v>
      </c>
      <c r="AD59" s="441">
        <f t="shared" si="24"/>
        <v>0</v>
      </c>
      <c r="AE59" s="576">
        <f t="shared" si="13"/>
        <v>16370</v>
      </c>
    </row>
    <row r="60" spans="1:31" ht="8.25">
      <c r="A60" s="222" t="s">
        <v>260</v>
      </c>
      <c r="C60" s="446">
        <v>21</v>
      </c>
      <c r="D60" s="446">
        <v>401</v>
      </c>
      <c r="E60" s="33">
        <v>0.0011471321695761506</v>
      </c>
      <c r="F60" s="54">
        <f t="shared" si="14"/>
        <v>6.342709276148374</v>
      </c>
      <c r="G60" s="568">
        <v>9.26</v>
      </c>
      <c r="H60" s="568">
        <v>2003</v>
      </c>
      <c r="I60" s="576">
        <f>I$63</f>
        <v>16370</v>
      </c>
      <c r="J60" s="50">
        <f t="shared" si="15"/>
        <v>2.7399981286566115</v>
      </c>
      <c r="K60" s="50">
        <f aca="true" t="shared" si="28" ref="K60:K81">I60:I60*100*J60/(7.48*24*60*60)</f>
        <v>6.940385683753703</v>
      </c>
      <c r="L60" s="107">
        <f t="shared" si="25"/>
        <v>6.342709276148374</v>
      </c>
      <c r="M60" s="416">
        <v>12005</v>
      </c>
      <c r="N60" s="50">
        <f t="shared" si="26"/>
        <v>6.073744864014394</v>
      </c>
      <c r="O60" s="565">
        <v>868</v>
      </c>
      <c r="P60" s="441">
        <f t="shared" si="17"/>
        <v>0.4391512321503118</v>
      </c>
      <c r="Q60" s="565">
        <v>0</v>
      </c>
      <c r="R60" s="441">
        <f t="shared" si="18"/>
        <v>0</v>
      </c>
      <c r="S60" s="565">
        <v>0</v>
      </c>
      <c r="T60" s="441">
        <f t="shared" si="19"/>
        <v>0</v>
      </c>
      <c r="U60" s="565">
        <v>0</v>
      </c>
      <c r="V60" s="441">
        <f t="shared" si="20"/>
        <v>0</v>
      </c>
      <c r="W60" s="173">
        <v>3497</v>
      </c>
      <c r="X60" s="441">
        <f t="shared" si="21"/>
        <v>1.7692532935825351</v>
      </c>
      <c r="Y60" s="565">
        <v>0</v>
      </c>
      <c r="Z60" s="441">
        <f t="shared" si="22"/>
        <v>0</v>
      </c>
      <c r="AA60" s="565">
        <v>0</v>
      </c>
      <c r="AB60" s="441">
        <f t="shared" si="23"/>
        <v>0</v>
      </c>
      <c r="AC60" s="565">
        <v>0</v>
      </c>
      <c r="AD60" s="441">
        <f t="shared" si="24"/>
        <v>0</v>
      </c>
      <c r="AE60" s="576">
        <f t="shared" si="13"/>
        <v>16370</v>
      </c>
    </row>
    <row r="61" spans="1:31" ht="8.25">
      <c r="A61" s="222" t="s">
        <v>260</v>
      </c>
      <c r="C61" s="446">
        <v>21</v>
      </c>
      <c r="D61" s="446">
        <v>400</v>
      </c>
      <c r="E61" s="33">
        <v>0.0012250000000000227</v>
      </c>
      <c r="F61" s="54">
        <f t="shared" si="14"/>
        <v>6.554447970890166</v>
      </c>
      <c r="G61" s="568">
        <v>9.26</v>
      </c>
      <c r="H61" s="568">
        <v>2003</v>
      </c>
      <c r="I61" s="576">
        <f>I$63</f>
        <v>16370</v>
      </c>
      <c r="J61" s="50">
        <f t="shared" si="15"/>
        <v>2.7399981286566115</v>
      </c>
      <c r="K61" s="50">
        <f t="shared" si="28"/>
        <v>6.940385683753703</v>
      </c>
      <c r="L61" s="107">
        <f t="shared" si="25"/>
        <v>6.554447970890166</v>
      </c>
      <c r="M61" s="416">
        <v>12005</v>
      </c>
      <c r="N61" s="50">
        <f t="shared" si="26"/>
        <v>6.073744864014394</v>
      </c>
      <c r="O61" s="565">
        <v>868</v>
      </c>
      <c r="P61" s="441">
        <f t="shared" si="17"/>
        <v>0.4391512321503118</v>
      </c>
      <c r="Q61" s="565">
        <v>0</v>
      </c>
      <c r="R61" s="441">
        <f t="shared" si="18"/>
        <v>0</v>
      </c>
      <c r="S61" s="565">
        <v>0</v>
      </c>
      <c r="T61" s="441">
        <f t="shared" si="19"/>
        <v>0</v>
      </c>
      <c r="U61" s="565">
        <v>0</v>
      </c>
      <c r="V61" s="441">
        <f t="shared" si="20"/>
        <v>0</v>
      </c>
      <c r="W61" s="173">
        <v>3497</v>
      </c>
      <c r="X61" s="441">
        <f t="shared" si="21"/>
        <v>1.7692532935825351</v>
      </c>
      <c r="Y61" s="565">
        <v>0</v>
      </c>
      <c r="Z61" s="441">
        <f t="shared" si="22"/>
        <v>0</v>
      </c>
      <c r="AA61" s="565">
        <v>0</v>
      </c>
      <c r="AB61" s="441">
        <f t="shared" si="23"/>
        <v>0</v>
      </c>
      <c r="AC61" s="565">
        <v>0</v>
      </c>
      <c r="AD61" s="441">
        <f t="shared" si="24"/>
        <v>0</v>
      </c>
      <c r="AE61" s="576">
        <f t="shared" si="13"/>
        <v>16370</v>
      </c>
    </row>
    <row r="62" spans="1:31" ht="8.25">
      <c r="A62" s="222" t="s">
        <v>260</v>
      </c>
      <c r="C62" s="446">
        <v>21</v>
      </c>
      <c r="D62" s="446">
        <v>50</v>
      </c>
      <c r="E62" s="33">
        <v>0.0015999999999985449</v>
      </c>
      <c r="F62" s="54">
        <f t="shared" si="14"/>
        <v>7.4907976810138575</v>
      </c>
      <c r="G62" s="568">
        <v>9.26</v>
      </c>
      <c r="H62" s="568">
        <v>2003</v>
      </c>
      <c r="I62" s="576">
        <f>I$63</f>
        <v>16370</v>
      </c>
      <c r="J62" s="50">
        <f t="shared" si="15"/>
        <v>2.7399981286566115</v>
      </c>
      <c r="K62" s="50">
        <f t="shared" si="28"/>
        <v>6.940385683753703</v>
      </c>
      <c r="L62" s="107">
        <f t="shared" si="25"/>
        <v>7.4907976810138575</v>
      </c>
      <c r="M62" s="416">
        <v>12005</v>
      </c>
      <c r="N62" s="50">
        <f t="shared" si="26"/>
        <v>6.073744864014394</v>
      </c>
      <c r="O62" s="565">
        <v>868</v>
      </c>
      <c r="P62" s="441">
        <f t="shared" si="17"/>
        <v>0.4391512321503118</v>
      </c>
      <c r="Q62" s="565">
        <v>0</v>
      </c>
      <c r="R62" s="441">
        <f t="shared" si="18"/>
        <v>0</v>
      </c>
      <c r="S62" s="565">
        <v>0</v>
      </c>
      <c r="T62" s="441">
        <f t="shared" si="19"/>
        <v>0</v>
      </c>
      <c r="U62" s="565">
        <v>0</v>
      </c>
      <c r="V62" s="441">
        <f t="shared" si="20"/>
        <v>0</v>
      </c>
      <c r="W62" s="173">
        <v>3497</v>
      </c>
      <c r="X62" s="441">
        <f t="shared" si="21"/>
        <v>1.7692532935825351</v>
      </c>
      <c r="Y62" s="565">
        <v>0</v>
      </c>
      <c r="Z62" s="441">
        <f t="shared" si="22"/>
        <v>0</v>
      </c>
      <c r="AA62" s="565">
        <v>0</v>
      </c>
      <c r="AB62" s="441">
        <f t="shared" si="23"/>
        <v>0</v>
      </c>
      <c r="AC62" s="565">
        <v>0</v>
      </c>
      <c r="AD62" s="441">
        <f t="shared" si="24"/>
        <v>0</v>
      </c>
      <c r="AE62" s="576">
        <f t="shared" si="13"/>
        <v>16370</v>
      </c>
    </row>
    <row r="63" spans="1:31" ht="8.25">
      <c r="A63" s="222" t="s">
        <v>260</v>
      </c>
      <c r="C63" s="446">
        <v>21</v>
      </c>
      <c r="D63" s="446">
        <v>408</v>
      </c>
      <c r="E63" s="33">
        <v>0.001200980392156885</v>
      </c>
      <c r="F63" s="54">
        <f t="shared" si="14"/>
        <v>6.489870553945346</v>
      </c>
      <c r="G63" s="568">
        <v>9.26</v>
      </c>
      <c r="H63" s="568">
        <v>2003</v>
      </c>
      <c r="I63" s="576">
        <f>AE63</f>
        <v>16370</v>
      </c>
      <c r="J63" s="50">
        <f t="shared" si="15"/>
        <v>2.7399981286566115</v>
      </c>
      <c r="K63" s="50">
        <f t="shared" si="28"/>
        <v>6.940385683753703</v>
      </c>
      <c r="L63" s="107">
        <f t="shared" si="25"/>
        <v>6.489870553945346</v>
      </c>
      <c r="M63" s="416">
        <v>12005</v>
      </c>
      <c r="N63" s="50">
        <f t="shared" si="26"/>
        <v>6.073744864014394</v>
      </c>
      <c r="O63" s="565">
        <v>868</v>
      </c>
      <c r="P63" s="441">
        <f t="shared" si="17"/>
        <v>0.4391512321503118</v>
      </c>
      <c r="Q63" s="565">
        <v>0</v>
      </c>
      <c r="R63" s="441">
        <f t="shared" si="18"/>
        <v>0</v>
      </c>
      <c r="S63" s="565">
        <v>0</v>
      </c>
      <c r="T63" s="441">
        <f t="shared" si="19"/>
        <v>0</v>
      </c>
      <c r="U63" s="565">
        <v>0</v>
      </c>
      <c r="V63" s="441">
        <f t="shared" si="20"/>
        <v>0</v>
      </c>
      <c r="W63" s="173">
        <v>3497</v>
      </c>
      <c r="X63" s="441">
        <f t="shared" si="21"/>
        <v>1.7692532935825351</v>
      </c>
      <c r="Y63" s="565">
        <v>0</v>
      </c>
      <c r="Z63" s="441">
        <f t="shared" si="22"/>
        <v>0</v>
      </c>
      <c r="AA63" s="565">
        <v>0</v>
      </c>
      <c r="AB63" s="441">
        <f t="shared" si="23"/>
        <v>0</v>
      </c>
      <c r="AC63" s="565">
        <v>0</v>
      </c>
      <c r="AD63" s="441">
        <f t="shared" si="24"/>
        <v>0</v>
      </c>
      <c r="AE63" s="576">
        <f t="shared" si="13"/>
        <v>16370</v>
      </c>
    </row>
    <row r="64" spans="1:31" ht="8.25">
      <c r="A64" s="222" t="s">
        <v>260</v>
      </c>
      <c r="C64" s="446">
        <v>21</v>
      </c>
      <c r="D64" s="446">
        <v>400</v>
      </c>
      <c r="E64" s="33">
        <v>0.0012999999999999546</v>
      </c>
      <c r="F64" s="54">
        <f t="shared" si="14"/>
        <v>6.752113783258505</v>
      </c>
      <c r="G64" s="568">
        <v>9.26</v>
      </c>
      <c r="H64" s="568">
        <v>2003</v>
      </c>
      <c r="I64" s="576">
        <f>AE64</f>
        <v>16370</v>
      </c>
      <c r="J64" s="50">
        <f t="shared" si="15"/>
        <v>2.7399981286566115</v>
      </c>
      <c r="K64" s="50">
        <f t="shared" si="28"/>
        <v>6.940385683753703</v>
      </c>
      <c r="L64" s="107">
        <f t="shared" si="25"/>
        <v>6.752113783258505</v>
      </c>
      <c r="M64" s="416">
        <v>12005</v>
      </c>
      <c r="N64" s="50">
        <f t="shared" si="26"/>
        <v>6.073744864014394</v>
      </c>
      <c r="O64" s="565">
        <v>868</v>
      </c>
      <c r="P64" s="441">
        <f t="shared" si="17"/>
        <v>0.4391512321503118</v>
      </c>
      <c r="Q64" s="565">
        <v>0</v>
      </c>
      <c r="R64" s="441">
        <f t="shared" si="18"/>
        <v>0</v>
      </c>
      <c r="S64" s="565">
        <v>0</v>
      </c>
      <c r="T64" s="441">
        <f t="shared" si="19"/>
        <v>0</v>
      </c>
      <c r="U64" s="565">
        <v>0</v>
      </c>
      <c r="V64" s="441">
        <f t="shared" si="20"/>
        <v>0</v>
      </c>
      <c r="W64" s="173">
        <v>3497</v>
      </c>
      <c r="X64" s="441">
        <f t="shared" si="21"/>
        <v>1.7692532935825351</v>
      </c>
      <c r="Y64" s="565">
        <v>0</v>
      </c>
      <c r="Z64" s="441">
        <f t="shared" si="22"/>
        <v>0</v>
      </c>
      <c r="AA64" s="565">
        <v>0</v>
      </c>
      <c r="AB64" s="441">
        <f t="shared" si="23"/>
        <v>0</v>
      </c>
      <c r="AC64" s="565">
        <v>0</v>
      </c>
      <c r="AD64" s="441">
        <f t="shared" si="24"/>
        <v>0</v>
      </c>
      <c r="AE64" s="576">
        <f t="shared" si="13"/>
        <v>16370</v>
      </c>
    </row>
    <row r="65" spans="1:31" ht="8.25">
      <c r="A65" s="222" t="s">
        <v>260</v>
      </c>
      <c r="C65" s="446">
        <v>24</v>
      </c>
      <c r="D65" s="446">
        <v>399</v>
      </c>
      <c r="E65" s="33">
        <v>0.0012030075187970382</v>
      </c>
      <c r="F65" s="54">
        <f t="shared" si="14"/>
        <v>9.27349778767012</v>
      </c>
      <c r="G65" s="568">
        <v>9.26</v>
      </c>
      <c r="H65" s="568">
        <v>2003</v>
      </c>
      <c r="I65" s="576">
        <f>I$67</f>
        <v>16578</v>
      </c>
      <c r="J65" s="50">
        <f t="shared" si="15"/>
        <v>2.7344744979361892</v>
      </c>
      <c r="K65" s="50">
        <f t="shared" si="28"/>
        <v>7.014402330100352</v>
      </c>
      <c r="L65" s="107">
        <f t="shared" si="25"/>
        <v>9.27349778767012</v>
      </c>
      <c r="M65" s="416">
        <v>12005</v>
      </c>
      <c r="N65" s="50">
        <f t="shared" si="26"/>
        <v>6.073744864014394</v>
      </c>
      <c r="O65" s="565">
        <v>868</v>
      </c>
      <c r="P65" s="441">
        <f t="shared" si="17"/>
        <v>0.4391512321503118</v>
      </c>
      <c r="Q65" s="565">
        <v>0</v>
      </c>
      <c r="R65" s="441">
        <f t="shared" si="18"/>
        <v>0</v>
      </c>
      <c r="S65" s="565">
        <v>0</v>
      </c>
      <c r="T65" s="441">
        <f t="shared" si="19"/>
        <v>0</v>
      </c>
      <c r="U65" s="565">
        <v>0</v>
      </c>
      <c r="V65" s="441">
        <f t="shared" si="20"/>
        <v>0</v>
      </c>
      <c r="W65" s="173">
        <v>3497</v>
      </c>
      <c r="X65" s="441">
        <f t="shared" si="21"/>
        <v>1.7692532935825351</v>
      </c>
      <c r="Y65" s="565">
        <v>0</v>
      </c>
      <c r="Z65" s="441">
        <f t="shared" si="22"/>
        <v>0</v>
      </c>
      <c r="AA65" s="565">
        <v>0</v>
      </c>
      <c r="AB65" s="441">
        <f t="shared" si="23"/>
        <v>0</v>
      </c>
      <c r="AC65" s="565">
        <v>0</v>
      </c>
      <c r="AD65" s="441">
        <f t="shared" si="24"/>
        <v>0</v>
      </c>
      <c r="AE65" s="576">
        <f t="shared" si="13"/>
        <v>16370</v>
      </c>
    </row>
    <row r="66" spans="1:31" ht="8.25">
      <c r="A66" s="222" t="s">
        <v>470</v>
      </c>
      <c r="B66" s="29" t="s">
        <v>260</v>
      </c>
      <c r="C66" s="446">
        <v>24</v>
      </c>
      <c r="D66" s="446">
        <v>401</v>
      </c>
      <c r="E66" s="33">
        <v>0.0012468827930174563</v>
      </c>
      <c r="F66" s="54">
        <f t="shared" si="14"/>
        <v>9.441091739434231</v>
      </c>
      <c r="G66" s="568">
        <v>9.26</v>
      </c>
      <c r="H66" s="568">
        <v>2003</v>
      </c>
      <c r="I66" s="576">
        <f>I$67</f>
        <v>16578</v>
      </c>
      <c r="J66" s="50">
        <f t="shared" si="15"/>
        <v>2.7344744979361892</v>
      </c>
      <c r="K66" s="50">
        <f t="shared" si="28"/>
        <v>7.014402330100352</v>
      </c>
      <c r="L66" s="107">
        <f t="shared" si="25"/>
        <v>9.441091739434231</v>
      </c>
      <c r="M66" s="416">
        <v>12005</v>
      </c>
      <c r="N66" s="50">
        <f t="shared" si="26"/>
        <v>6.073744864014394</v>
      </c>
      <c r="O66" s="565">
        <v>868</v>
      </c>
      <c r="P66" s="441">
        <f t="shared" si="17"/>
        <v>0.4391512321503118</v>
      </c>
      <c r="Q66" s="565">
        <v>0</v>
      </c>
      <c r="R66" s="441">
        <f t="shared" si="18"/>
        <v>0</v>
      </c>
      <c r="S66" s="565">
        <v>0</v>
      </c>
      <c r="T66" s="441">
        <f t="shared" si="19"/>
        <v>0</v>
      </c>
      <c r="U66" s="565">
        <v>0</v>
      </c>
      <c r="V66" s="441">
        <f t="shared" si="20"/>
        <v>0</v>
      </c>
      <c r="W66" s="173">
        <v>3497</v>
      </c>
      <c r="X66" s="441">
        <f t="shared" si="21"/>
        <v>1.7692532935825351</v>
      </c>
      <c r="Y66" s="565">
        <v>0</v>
      </c>
      <c r="Z66" s="441">
        <f t="shared" si="22"/>
        <v>0</v>
      </c>
      <c r="AA66" s="565">
        <v>0</v>
      </c>
      <c r="AB66" s="441">
        <f t="shared" si="23"/>
        <v>0</v>
      </c>
      <c r="AC66" s="565">
        <v>0</v>
      </c>
      <c r="AD66" s="441">
        <f t="shared" si="24"/>
        <v>0</v>
      </c>
      <c r="AE66" s="576">
        <f t="shared" si="13"/>
        <v>16370</v>
      </c>
    </row>
    <row r="67" spans="1:31" ht="8.25">
      <c r="A67" s="222" t="s">
        <v>471</v>
      </c>
      <c r="C67" s="446">
        <v>24</v>
      </c>
      <c r="D67" s="446">
        <v>380</v>
      </c>
      <c r="E67" s="33">
        <v>0.001894736842105335</v>
      </c>
      <c r="F67" s="54">
        <f t="shared" si="14"/>
        <v>11.63814735764366</v>
      </c>
      <c r="G67" s="568">
        <v>9.26</v>
      </c>
      <c r="H67" s="568">
        <v>2003</v>
      </c>
      <c r="I67" s="576">
        <f aca="true" t="shared" si="29" ref="I67:I81">AE67</f>
        <v>16578</v>
      </c>
      <c r="J67" s="50">
        <f t="shared" si="15"/>
        <v>2.7344744979361892</v>
      </c>
      <c r="K67" s="50">
        <f t="shared" si="28"/>
        <v>7.014402330100352</v>
      </c>
      <c r="L67" s="107">
        <f t="shared" si="25"/>
        <v>11.63814735764366</v>
      </c>
      <c r="M67" s="416">
        <f>M66+208</f>
        <v>12213</v>
      </c>
      <c r="N67" s="50">
        <f t="shared" si="26"/>
        <v>6.178979260658708</v>
      </c>
      <c r="O67" s="565">
        <v>868</v>
      </c>
      <c r="P67" s="441">
        <f t="shared" si="17"/>
        <v>0.4391512321503118</v>
      </c>
      <c r="Q67" s="565">
        <v>0</v>
      </c>
      <c r="R67" s="441">
        <f t="shared" si="18"/>
        <v>0</v>
      </c>
      <c r="S67" s="565">
        <v>0</v>
      </c>
      <c r="T67" s="441">
        <f t="shared" si="19"/>
        <v>0</v>
      </c>
      <c r="U67" s="565">
        <v>0</v>
      </c>
      <c r="V67" s="441">
        <f t="shared" si="20"/>
        <v>0</v>
      </c>
      <c r="W67" s="173">
        <v>3497</v>
      </c>
      <c r="X67" s="441">
        <f t="shared" si="21"/>
        <v>1.7692532935825351</v>
      </c>
      <c r="Y67" s="565">
        <v>0</v>
      </c>
      <c r="Z67" s="441">
        <f t="shared" si="22"/>
        <v>0</v>
      </c>
      <c r="AA67" s="565">
        <v>0</v>
      </c>
      <c r="AB67" s="441">
        <f t="shared" si="23"/>
        <v>0</v>
      </c>
      <c r="AC67" s="565">
        <v>0</v>
      </c>
      <c r="AD67" s="441">
        <f t="shared" si="24"/>
        <v>0</v>
      </c>
      <c r="AE67" s="576">
        <f t="shared" si="13"/>
        <v>16578</v>
      </c>
    </row>
    <row r="68" spans="1:31" ht="8.25">
      <c r="A68" s="222"/>
      <c r="C68" s="446">
        <v>24</v>
      </c>
      <c r="D68" s="446">
        <v>366</v>
      </c>
      <c r="E68" s="33">
        <v>0.0005191256830602584</v>
      </c>
      <c r="F68" s="54">
        <f t="shared" si="14"/>
        <v>6.091800323492953</v>
      </c>
      <c r="G68" s="568">
        <v>9.26</v>
      </c>
      <c r="H68" s="568">
        <v>2001</v>
      </c>
      <c r="I68" s="576">
        <f t="shared" si="29"/>
        <v>16646</v>
      </c>
      <c r="J68" s="50">
        <f t="shared" si="15"/>
        <v>2.732683779206635</v>
      </c>
      <c r="K68" s="50">
        <f t="shared" si="28"/>
        <v>7.038561811230201</v>
      </c>
      <c r="L68" s="107">
        <f t="shared" si="25"/>
        <v>6.091800323492953</v>
      </c>
      <c r="M68" s="416">
        <v>12213</v>
      </c>
      <c r="N68" s="50">
        <f t="shared" si="26"/>
        <v>6.178979260658708</v>
      </c>
      <c r="O68" s="565">
        <v>868</v>
      </c>
      <c r="P68" s="441">
        <f t="shared" si="17"/>
        <v>0.4391512321503118</v>
      </c>
      <c r="Q68" s="565">
        <v>0</v>
      </c>
      <c r="R68" s="441">
        <f t="shared" si="18"/>
        <v>0</v>
      </c>
      <c r="S68" s="565">
        <v>0</v>
      </c>
      <c r="T68" s="441">
        <f t="shared" si="19"/>
        <v>0</v>
      </c>
      <c r="U68" s="565">
        <v>68</v>
      </c>
      <c r="V68" s="441">
        <f t="shared" si="20"/>
        <v>0.03440355274910277</v>
      </c>
      <c r="W68" s="173">
        <v>3497</v>
      </c>
      <c r="X68" s="441">
        <f t="shared" si="21"/>
        <v>1.7692532935825351</v>
      </c>
      <c r="Y68" s="565">
        <v>0</v>
      </c>
      <c r="Z68" s="441">
        <f t="shared" si="22"/>
        <v>0</v>
      </c>
      <c r="AA68" s="565">
        <v>0</v>
      </c>
      <c r="AB68" s="441">
        <f t="shared" si="23"/>
        <v>0</v>
      </c>
      <c r="AC68" s="565">
        <v>0</v>
      </c>
      <c r="AD68" s="441">
        <f t="shared" si="24"/>
        <v>0</v>
      </c>
      <c r="AE68" s="576">
        <f t="shared" si="13"/>
        <v>16646</v>
      </c>
    </row>
    <row r="69" spans="1:31" ht="8.25">
      <c r="A69" s="222" t="s">
        <v>260</v>
      </c>
      <c r="C69" s="446">
        <v>24</v>
      </c>
      <c r="D69" s="446">
        <v>341</v>
      </c>
      <c r="E69" s="33">
        <v>0.001173020527859171</v>
      </c>
      <c r="F69" s="54">
        <f t="shared" si="14"/>
        <v>9.157189634853603</v>
      </c>
      <c r="G69" s="568">
        <v>9.26</v>
      </c>
      <c r="H69" s="568">
        <v>2001</v>
      </c>
      <c r="I69" s="576">
        <f t="shared" si="29"/>
        <v>17046</v>
      </c>
      <c r="J69" s="50">
        <f t="shared" si="15"/>
        <v>2.7222968176847804</v>
      </c>
      <c r="K69" s="50">
        <f t="shared" si="28"/>
        <v>7.1803004855934915</v>
      </c>
      <c r="L69" s="107">
        <f t="shared" si="25"/>
        <v>9.157189634853603</v>
      </c>
      <c r="M69" s="416">
        <f>M68+400</f>
        <v>12613</v>
      </c>
      <c r="N69" s="50">
        <f t="shared" si="26"/>
        <v>6.381353100359313</v>
      </c>
      <c r="O69" s="565">
        <v>868</v>
      </c>
      <c r="P69" s="441">
        <f t="shared" si="17"/>
        <v>0.4391512321503118</v>
      </c>
      <c r="Q69" s="565">
        <v>0</v>
      </c>
      <c r="R69" s="441">
        <f t="shared" si="18"/>
        <v>0</v>
      </c>
      <c r="S69" s="565">
        <v>0</v>
      </c>
      <c r="T69" s="441">
        <f t="shared" si="19"/>
        <v>0</v>
      </c>
      <c r="U69" s="565">
        <v>68</v>
      </c>
      <c r="V69" s="441">
        <f t="shared" si="20"/>
        <v>0.03440355274910277</v>
      </c>
      <c r="W69" s="173">
        <v>3497</v>
      </c>
      <c r="X69" s="441">
        <f t="shared" si="21"/>
        <v>1.7692532935825351</v>
      </c>
      <c r="Y69" s="565">
        <v>0</v>
      </c>
      <c r="Z69" s="441">
        <f t="shared" si="22"/>
        <v>0</v>
      </c>
      <c r="AA69" s="565">
        <v>0</v>
      </c>
      <c r="AB69" s="441">
        <f t="shared" si="23"/>
        <v>0</v>
      </c>
      <c r="AC69" s="565">
        <v>0</v>
      </c>
      <c r="AD69" s="441">
        <f t="shared" si="24"/>
        <v>0</v>
      </c>
      <c r="AE69" s="576">
        <f t="shared" si="13"/>
        <v>17046</v>
      </c>
    </row>
    <row r="70" spans="1:31" ht="8.25">
      <c r="A70" s="222" t="s">
        <v>260</v>
      </c>
      <c r="C70" s="446">
        <v>24</v>
      </c>
      <c r="D70" s="446">
        <v>317</v>
      </c>
      <c r="E70" s="33">
        <v>0.0009148264984225982</v>
      </c>
      <c r="F70" s="54">
        <f t="shared" si="14"/>
        <v>8.086838493825114</v>
      </c>
      <c r="G70" s="568">
        <v>9.26</v>
      </c>
      <c r="H70" s="568">
        <v>2001</v>
      </c>
      <c r="I70" s="576">
        <f t="shared" si="29"/>
        <v>17046</v>
      </c>
      <c r="J70" s="50">
        <f t="shared" si="15"/>
        <v>2.7222968176847804</v>
      </c>
      <c r="K70" s="50">
        <f t="shared" si="28"/>
        <v>7.1803004855934915</v>
      </c>
      <c r="L70" s="107">
        <f t="shared" si="25"/>
        <v>8.086838493825114</v>
      </c>
      <c r="M70" s="416">
        <v>12613</v>
      </c>
      <c r="N70" s="50">
        <f t="shared" si="26"/>
        <v>6.381353100359313</v>
      </c>
      <c r="O70" s="565">
        <v>868</v>
      </c>
      <c r="P70" s="441">
        <f t="shared" si="17"/>
        <v>0.4391512321503118</v>
      </c>
      <c r="Q70" s="565">
        <v>0</v>
      </c>
      <c r="R70" s="441">
        <f t="shared" si="18"/>
        <v>0</v>
      </c>
      <c r="S70" s="565">
        <v>0</v>
      </c>
      <c r="T70" s="441">
        <f t="shared" si="19"/>
        <v>0</v>
      </c>
      <c r="U70" s="565">
        <v>68</v>
      </c>
      <c r="V70" s="441">
        <f t="shared" si="20"/>
        <v>0.03440355274910277</v>
      </c>
      <c r="W70" s="173">
        <v>3497</v>
      </c>
      <c r="X70" s="441">
        <f t="shared" si="21"/>
        <v>1.7692532935825351</v>
      </c>
      <c r="Y70" s="565">
        <v>0</v>
      </c>
      <c r="Z70" s="441">
        <f t="shared" si="22"/>
        <v>0</v>
      </c>
      <c r="AA70" s="565">
        <v>0</v>
      </c>
      <c r="AB70" s="441">
        <f t="shared" si="23"/>
        <v>0</v>
      </c>
      <c r="AC70" s="565">
        <v>0</v>
      </c>
      <c r="AD70" s="441">
        <f t="shared" si="24"/>
        <v>0</v>
      </c>
      <c r="AE70" s="576">
        <f t="shared" si="13"/>
        <v>17046</v>
      </c>
    </row>
    <row r="71" spans="1:31" ht="8.25">
      <c r="A71" s="222" t="s">
        <v>260</v>
      </c>
      <c r="C71" s="446">
        <v>24</v>
      </c>
      <c r="D71" s="446">
        <v>250</v>
      </c>
      <c r="E71" s="33">
        <v>0.0015199999999999819</v>
      </c>
      <c r="F71" s="54">
        <f t="shared" si="14"/>
        <v>10.42392302824804</v>
      </c>
      <c r="G71" s="568">
        <v>9.26</v>
      </c>
      <c r="H71" s="568">
        <v>2001</v>
      </c>
      <c r="I71" s="576">
        <f t="shared" si="29"/>
        <v>17046</v>
      </c>
      <c r="J71" s="50">
        <f t="shared" si="15"/>
        <v>2.7222968176847804</v>
      </c>
      <c r="K71" s="50">
        <f t="shared" si="28"/>
        <v>7.1803004855934915</v>
      </c>
      <c r="L71" s="107">
        <f t="shared" si="25"/>
        <v>10.42392302824804</v>
      </c>
      <c r="M71" s="416">
        <v>12613</v>
      </c>
      <c r="N71" s="50">
        <f t="shared" si="26"/>
        <v>6.381353100359313</v>
      </c>
      <c r="O71" s="565">
        <v>868</v>
      </c>
      <c r="P71" s="441">
        <f t="shared" si="17"/>
        <v>0.4391512321503118</v>
      </c>
      <c r="Q71" s="565">
        <v>0</v>
      </c>
      <c r="R71" s="441">
        <f t="shared" si="18"/>
        <v>0</v>
      </c>
      <c r="S71" s="565">
        <v>0</v>
      </c>
      <c r="T71" s="441">
        <f t="shared" si="19"/>
        <v>0</v>
      </c>
      <c r="U71" s="565">
        <v>68</v>
      </c>
      <c r="V71" s="441">
        <f t="shared" si="20"/>
        <v>0.03440355274910277</v>
      </c>
      <c r="W71" s="173">
        <v>3497</v>
      </c>
      <c r="X71" s="441">
        <f t="shared" si="21"/>
        <v>1.7692532935825351</v>
      </c>
      <c r="Y71" s="565">
        <v>0</v>
      </c>
      <c r="Z71" s="441">
        <f t="shared" si="22"/>
        <v>0</v>
      </c>
      <c r="AA71" s="565">
        <v>0</v>
      </c>
      <c r="AB71" s="441">
        <f t="shared" si="23"/>
        <v>0</v>
      </c>
      <c r="AC71" s="565">
        <v>0</v>
      </c>
      <c r="AD71" s="441">
        <f t="shared" si="24"/>
        <v>0</v>
      </c>
      <c r="AE71" s="576">
        <f t="shared" si="13"/>
        <v>17046</v>
      </c>
    </row>
    <row r="72" spans="1:31" ht="8.25">
      <c r="A72" s="222" t="s">
        <v>260</v>
      </c>
      <c r="C72" s="446">
        <v>24</v>
      </c>
      <c r="D72" s="446">
        <v>252</v>
      </c>
      <c r="E72" s="33">
        <v>0.0008333333333334777</v>
      </c>
      <c r="F72" s="54">
        <f t="shared" si="14"/>
        <v>7.718248884538073</v>
      </c>
      <c r="G72" s="568">
        <v>9.26</v>
      </c>
      <c r="H72" s="568">
        <v>2001</v>
      </c>
      <c r="I72" s="576">
        <f t="shared" si="29"/>
        <v>17046</v>
      </c>
      <c r="J72" s="50">
        <f aca="true" t="shared" si="30" ref="J72:J81">(18+SQRT(I72/1000))/(4+SQRT(I72/1000))</f>
        <v>2.7222968176847804</v>
      </c>
      <c r="K72" s="50">
        <f t="shared" si="28"/>
        <v>7.1803004855934915</v>
      </c>
      <c r="L72" s="107">
        <f t="shared" si="25"/>
        <v>7.718248884538073</v>
      </c>
      <c r="M72" s="416">
        <v>12613</v>
      </c>
      <c r="N72" s="50">
        <f t="shared" si="26"/>
        <v>6.381353100359313</v>
      </c>
      <c r="O72" s="565">
        <v>868</v>
      </c>
      <c r="P72" s="441">
        <f aca="true" t="shared" si="31" ref="P72:P81">O72*100*$J$11/(7.48*24*60*60)</f>
        <v>0.4391512321503118</v>
      </c>
      <c r="Q72" s="565">
        <v>0</v>
      </c>
      <c r="R72" s="441">
        <f aca="true" t="shared" si="32" ref="R72:R81">Q72*100*$J$11/(7.48*24*60*60)</f>
        <v>0</v>
      </c>
      <c r="S72" s="565">
        <v>0</v>
      </c>
      <c r="T72" s="441">
        <f aca="true" t="shared" si="33" ref="T72:T81">S72*100*$J$11/(7.48*24*60*60)</f>
        <v>0</v>
      </c>
      <c r="U72" s="565">
        <v>68</v>
      </c>
      <c r="V72" s="441">
        <f aca="true" t="shared" si="34" ref="V72:V81">U72*100*$J$11/(7.48*24*60*60)</f>
        <v>0.03440355274910277</v>
      </c>
      <c r="W72" s="173">
        <v>3497</v>
      </c>
      <c r="X72" s="441">
        <f aca="true" t="shared" si="35" ref="X72:X81">W72*100*$J$11/(7.48*24*60*60)</f>
        <v>1.7692532935825351</v>
      </c>
      <c r="Y72" s="565">
        <v>0</v>
      </c>
      <c r="Z72" s="441">
        <f aca="true" t="shared" si="36" ref="Z72:Z81">Y72*100*$J$11/(7.48*24*60*60)</f>
        <v>0</v>
      </c>
      <c r="AA72" s="565">
        <v>0</v>
      </c>
      <c r="AB72" s="441">
        <f aca="true" t="shared" si="37" ref="AB72:AB81">AA72*100*$J$11/(7.48*24*60*60)</f>
        <v>0</v>
      </c>
      <c r="AC72" s="565">
        <v>0</v>
      </c>
      <c r="AD72" s="441">
        <f aca="true" t="shared" si="38" ref="AD72:AD81">AC72*100*$J$11/(7.48*24*60*60)</f>
        <v>0</v>
      </c>
      <c r="AE72" s="576">
        <f t="shared" si="13"/>
        <v>17046</v>
      </c>
    </row>
    <row r="73" spans="1:31" ht="8.25">
      <c r="A73" s="222" t="s">
        <v>260</v>
      </c>
      <c r="C73" s="446">
        <v>24</v>
      </c>
      <c r="D73" s="446">
        <v>418</v>
      </c>
      <c r="E73" s="33">
        <v>0.001028708133971444</v>
      </c>
      <c r="F73" s="54">
        <f t="shared" si="14"/>
        <v>8.575421757219734</v>
      </c>
      <c r="G73" s="568">
        <v>9.26</v>
      </c>
      <c r="H73" s="568">
        <v>2001</v>
      </c>
      <c r="I73" s="576">
        <f t="shared" si="29"/>
        <v>17046</v>
      </c>
      <c r="J73" s="50">
        <f t="shared" si="30"/>
        <v>2.7222968176847804</v>
      </c>
      <c r="K73" s="50">
        <f t="shared" si="28"/>
        <v>7.1803004855934915</v>
      </c>
      <c r="L73" s="107">
        <f aca="true" t="shared" si="39" ref="L73:L81">F73</f>
        <v>8.575421757219734</v>
      </c>
      <c r="M73" s="416">
        <v>12613</v>
      </c>
      <c r="N73" s="50">
        <f aca="true" t="shared" si="40" ref="N73:N81">M73*100*$J$11/(7.48*24*60*60)</f>
        <v>6.381353100359313</v>
      </c>
      <c r="O73" s="565">
        <v>868</v>
      </c>
      <c r="P73" s="441">
        <f t="shared" si="31"/>
        <v>0.4391512321503118</v>
      </c>
      <c r="Q73" s="565">
        <v>0</v>
      </c>
      <c r="R73" s="441">
        <f t="shared" si="32"/>
        <v>0</v>
      </c>
      <c r="S73" s="565">
        <v>0</v>
      </c>
      <c r="T73" s="441">
        <f t="shared" si="33"/>
        <v>0</v>
      </c>
      <c r="U73" s="565">
        <v>68</v>
      </c>
      <c r="V73" s="441">
        <f t="shared" si="34"/>
        <v>0.03440355274910277</v>
      </c>
      <c r="W73" s="173">
        <v>3497</v>
      </c>
      <c r="X73" s="441">
        <f t="shared" si="35"/>
        <v>1.7692532935825351</v>
      </c>
      <c r="Y73" s="565">
        <v>0</v>
      </c>
      <c r="Z73" s="441">
        <f t="shared" si="36"/>
        <v>0</v>
      </c>
      <c r="AA73" s="565">
        <v>0</v>
      </c>
      <c r="AB73" s="441">
        <f t="shared" si="37"/>
        <v>0</v>
      </c>
      <c r="AC73" s="565">
        <v>0</v>
      </c>
      <c r="AD73" s="441">
        <f t="shared" si="38"/>
        <v>0</v>
      </c>
      <c r="AE73" s="576">
        <f aca="true" t="shared" si="41" ref="AE73:AE81">AC73+AA73+Y73+W73+U73+S73+Q73+O73+M73</f>
        <v>17046</v>
      </c>
    </row>
    <row r="74" spans="1:31" ht="8.25">
      <c r="A74" s="222" t="s">
        <v>260</v>
      </c>
      <c r="C74" s="446">
        <v>24</v>
      </c>
      <c r="D74" s="446">
        <v>245</v>
      </c>
      <c r="E74" s="33">
        <v>0.0014693877551016324</v>
      </c>
      <c r="F74" s="54">
        <f aca="true" t="shared" si="42" ref="F74:F81">(PI()*POWER(C74/(2*12),2))*(1.486/0.011)*(POWER(C74/(12*4),0.6666))*(SQRT(E74))</f>
        <v>10.248908362866235</v>
      </c>
      <c r="G74" s="568">
        <v>9.26</v>
      </c>
      <c r="H74" s="568">
        <v>2001</v>
      </c>
      <c r="I74" s="576">
        <f t="shared" si="29"/>
        <v>17046</v>
      </c>
      <c r="J74" s="50">
        <f t="shared" si="30"/>
        <v>2.7222968176847804</v>
      </c>
      <c r="K74" s="50">
        <f t="shared" si="28"/>
        <v>7.1803004855934915</v>
      </c>
      <c r="L74" s="107">
        <f t="shared" si="39"/>
        <v>10.248908362866235</v>
      </c>
      <c r="M74" s="416">
        <v>12613</v>
      </c>
      <c r="N74" s="50">
        <f t="shared" si="40"/>
        <v>6.381353100359313</v>
      </c>
      <c r="O74" s="565">
        <v>868</v>
      </c>
      <c r="P74" s="441">
        <f t="shared" si="31"/>
        <v>0.4391512321503118</v>
      </c>
      <c r="Q74" s="565">
        <v>0</v>
      </c>
      <c r="R74" s="441">
        <f t="shared" si="32"/>
        <v>0</v>
      </c>
      <c r="S74" s="565">
        <v>0</v>
      </c>
      <c r="T74" s="441">
        <f t="shared" si="33"/>
        <v>0</v>
      </c>
      <c r="U74" s="565">
        <v>68</v>
      </c>
      <c r="V74" s="441">
        <f t="shared" si="34"/>
        <v>0.03440355274910277</v>
      </c>
      <c r="W74" s="173">
        <v>3497</v>
      </c>
      <c r="X74" s="441">
        <f t="shared" si="35"/>
        <v>1.7692532935825351</v>
      </c>
      <c r="Y74" s="565">
        <v>0</v>
      </c>
      <c r="Z74" s="441">
        <f t="shared" si="36"/>
        <v>0</v>
      </c>
      <c r="AA74" s="565">
        <v>0</v>
      </c>
      <c r="AB74" s="441">
        <f t="shared" si="37"/>
        <v>0</v>
      </c>
      <c r="AC74" s="565">
        <v>0</v>
      </c>
      <c r="AD74" s="441">
        <f t="shared" si="38"/>
        <v>0</v>
      </c>
      <c r="AE74" s="576">
        <f t="shared" si="41"/>
        <v>17046</v>
      </c>
    </row>
    <row r="75" spans="1:31" ht="8.25">
      <c r="A75" s="222" t="s">
        <v>260</v>
      </c>
      <c r="C75" s="446">
        <v>24</v>
      </c>
      <c r="D75" s="446">
        <v>253</v>
      </c>
      <c r="E75" s="33">
        <v>0.0014229249011858246</v>
      </c>
      <c r="F75" s="54">
        <f t="shared" si="42"/>
        <v>10.085568691348959</v>
      </c>
      <c r="G75" s="568">
        <v>9.26</v>
      </c>
      <c r="H75" s="568">
        <v>2001</v>
      </c>
      <c r="I75" s="576">
        <f t="shared" si="29"/>
        <v>17046</v>
      </c>
      <c r="J75" s="50">
        <f t="shared" si="30"/>
        <v>2.7222968176847804</v>
      </c>
      <c r="K75" s="50">
        <f t="shared" si="28"/>
        <v>7.1803004855934915</v>
      </c>
      <c r="L75" s="107">
        <f t="shared" si="39"/>
        <v>10.085568691348959</v>
      </c>
      <c r="M75" s="416">
        <v>12613</v>
      </c>
      <c r="N75" s="50">
        <f t="shared" si="40"/>
        <v>6.381353100359313</v>
      </c>
      <c r="O75" s="565">
        <v>868</v>
      </c>
      <c r="P75" s="441">
        <f t="shared" si="31"/>
        <v>0.4391512321503118</v>
      </c>
      <c r="Q75" s="565">
        <v>0</v>
      </c>
      <c r="R75" s="441">
        <f t="shared" si="32"/>
        <v>0</v>
      </c>
      <c r="S75" s="565">
        <v>0</v>
      </c>
      <c r="T75" s="441">
        <f t="shared" si="33"/>
        <v>0</v>
      </c>
      <c r="U75" s="565">
        <v>68</v>
      </c>
      <c r="V75" s="441">
        <f t="shared" si="34"/>
        <v>0.03440355274910277</v>
      </c>
      <c r="W75" s="173">
        <v>3497</v>
      </c>
      <c r="X75" s="441">
        <f t="shared" si="35"/>
        <v>1.7692532935825351</v>
      </c>
      <c r="Y75" s="565">
        <v>0</v>
      </c>
      <c r="Z75" s="441">
        <f t="shared" si="36"/>
        <v>0</v>
      </c>
      <c r="AA75" s="565">
        <v>0</v>
      </c>
      <c r="AB75" s="441">
        <f t="shared" si="37"/>
        <v>0</v>
      </c>
      <c r="AC75" s="565">
        <v>0</v>
      </c>
      <c r="AD75" s="441">
        <f t="shared" si="38"/>
        <v>0</v>
      </c>
      <c r="AE75" s="576">
        <f t="shared" si="41"/>
        <v>17046</v>
      </c>
    </row>
    <row r="76" spans="1:31" ht="8.25">
      <c r="A76" s="222" t="s">
        <v>260</v>
      </c>
      <c r="C76" s="446">
        <v>24</v>
      </c>
      <c r="D76" s="446">
        <v>429</v>
      </c>
      <c r="E76" s="33">
        <v>0.0011888111888111676</v>
      </c>
      <c r="F76" s="54">
        <f t="shared" si="42"/>
        <v>9.218618524337138</v>
      </c>
      <c r="G76" s="568">
        <v>9.26</v>
      </c>
      <c r="H76" s="568">
        <v>2001</v>
      </c>
      <c r="I76" s="576">
        <f t="shared" si="29"/>
        <v>17046</v>
      </c>
      <c r="J76" s="50">
        <f t="shared" si="30"/>
        <v>2.7222968176847804</v>
      </c>
      <c r="K76" s="50">
        <f t="shared" si="28"/>
        <v>7.1803004855934915</v>
      </c>
      <c r="L76" s="107">
        <f t="shared" si="39"/>
        <v>9.218618524337138</v>
      </c>
      <c r="M76" s="416">
        <v>12613</v>
      </c>
      <c r="N76" s="50">
        <f t="shared" si="40"/>
        <v>6.381353100359313</v>
      </c>
      <c r="O76" s="565">
        <v>868</v>
      </c>
      <c r="P76" s="441">
        <f t="shared" si="31"/>
        <v>0.4391512321503118</v>
      </c>
      <c r="Q76" s="565">
        <v>0</v>
      </c>
      <c r="R76" s="441">
        <f t="shared" si="32"/>
        <v>0</v>
      </c>
      <c r="S76" s="565">
        <v>0</v>
      </c>
      <c r="T76" s="441">
        <f t="shared" si="33"/>
        <v>0</v>
      </c>
      <c r="U76" s="565">
        <v>68</v>
      </c>
      <c r="V76" s="441">
        <f t="shared" si="34"/>
        <v>0.03440355274910277</v>
      </c>
      <c r="W76" s="173">
        <v>3497</v>
      </c>
      <c r="X76" s="441">
        <f t="shared" si="35"/>
        <v>1.7692532935825351</v>
      </c>
      <c r="Y76" s="565">
        <v>0</v>
      </c>
      <c r="Z76" s="441">
        <f t="shared" si="36"/>
        <v>0</v>
      </c>
      <c r="AA76" s="565">
        <v>0</v>
      </c>
      <c r="AB76" s="441">
        <f t="shared" si="37"/>
        <v>0</v>
      </c>
      <c r="AC76" s="565">
        <v>0</v>
      </c>
      <c r="AD76" s="441">
        <f t="shared" si="38"/>
        <v>0</v>
      </c>
      <c r="AE76" s="576">
        <f t="shared" si="41"/>
        <v>17046</v>
      </c>
    </row>
    <row r="77" spans="1:31" ht="8.25">
      <c r="A77" s="222" t="s">
        <v>260</v>
      </c>
      <c r="C77" s="446">
        <v>24</v>
      </c>
      <c r="D77" s="446">
        <v>406</v>
      </c>
      <c r="E77" s="33">
        <v>0.0008374384236453986</v>
      </c>
      <c r="F77" s="54">
        <f t="shared" si="42"/>
        <v>7.737235995355477</v>
      </c>
      <c r="G77" s="568">
        <v>9.26</v>
      </c>
      <c r="H77" s="568">
        <v>2001</v>
      </c>
      <c r="I77" s="576">
        <f t="shared" si="29"/>
        <v>17046</v>
      </c>
      <c r="J77" s="50">
        <f t="shared" si="30"/>
        <v>2.7222968176847804</v>
      </c>
      <c r="K77" s="50">
        <f t="shared" si="28"/>
        <v>7.1803004855934915</v>
      </c>
      <c r="L77" s="107">
        <f t="shared" si="39"/>
        <v>7.737235995355477</v>
      </c>
      <c r="M77" s="416">
        <v>12613</v>
      </c>
      <c r="N77" s="50">
        <f t="shared" si="40"/>
        <v>6.381353100359313</v>
      </c>
      <c r="O77" s="565">
        <v>868</v>
      </c>
      <c r="P77" s="441">
        <f t="shared" si="31"/>
        <v>0.4391512321503118</v>
      </c>
      <c r="Q77" s="565">
        <v>0</v>
      </c>
      <c r="R77" s="441">
        <f t="shared" si="32"/>
        <v>0</v>
      </c>
      <c r="S77" s="565">
        <v>0</v>
      </c>
      <c r="T77" s="441">
        <f t="shared" si="33"/>
        <v>0</v>
      </c>
      <c r="U77" s="565">
        <v>68</v>
      </c>
      <c r="V77" s="441">
        <f t="shared" si="34"/>
        <v>0.03440355274910277</v>
      </c>
      <c r="W77" s="173">
        <v>3497</v>
      </c>
      <c r="X77" s="441">
        <f t="shared" si="35"/>
        <v>1.7692532935825351</v>
      </c>
      <c r="Y77" s="565">
        <v>0</v>
      </c>
      <c r="Z77" s="441">
        <f t="shared" si="36"/>
        <v>0</v>
      </c>
      <c r="AA77" s="565">
        <v>0</v>
      </c>
      <c r="AB77" s="441">
        <f t="shared" si="37"/>
        <v>0</v>
      </c>
      <c r="AC77" s="565">
        <v>0</v>
      </c>
      <c r="AD77" s="441">
        <f t="shared" si="38"/>
        <v>0</v>
      </c>
      <c r="AE77" s="576">
        <f t="shared" si="41"/>
        <v>17046</v>
      </c>
    </row>
    <row r="78" spans="1:31" ht="8.25">
      <c r="A78" s="222" t="s">
        <v>260</v>
      </c>
      <c r="C78" s="446">
        <v>24</v>
      </c>
      <c r="D78" s="446">
        <v>415</v>
      </c>
      <c r="E78" s="33">
        <v>0.0009638554216866922</v>
      </c>
      <c r="F78" s="54">
        <f t="shared" si="42"/>
        <v>8.300712061915839</v>
      </c>
      <c r="G78" s="568">
        <v>9.26</v>
      </c>
      <c r="H78" s="568">
        <v>2001</v>
      </c>
      <c r="I78" s="576">
        <f t="shared" si="29"/>
        <v>17046</v>
      </c>
      <c r="J78" s="50">
        <f t="shared" si="30"/>
        <v>2.7222968176847804</v>
      </c>
      <c r="K78" s="50">
        <f t="shared" si="28"/>
        <v>7.1803004855934915</v>
      </c>
      <c r="L78" s="107">
        <f t="shared" si="39"/>
        <v>8.300712061915839</v>
      </c>
      <c r="M78" s="416">
        <v>12613</v>
      </c>
      <c r="N78" s="50">
        <f t="shared" si="40"/>
        <v>6.381353100359313</v>
      </c>
      <c r="O78" s="565">
        <v>868</v>
      </c>
      <c r="P78" s="441">
        <f t="shared" si="31"/>
        <v>0.4391512321503118</v>
      </c>
      <c r="Q78" s="565">
        <v>0</v>
      </c>
      <c r="R78" s="441">
        <f t="shared" si="32"/>
        <v>0</v>
      </c>
      <c r="S78" s="565">
        <v>0</v>
      </c>
      <c r="T78" s="441">
        <f t="shared" si="33"/>
        <v>0</v>
      </c>
      <c r="U78" s="565">
        <v>68</v>
      </c>
      <c r="V78" s="441">
        <f t="shared" si="34"/>
        <v>0.03440355274910277</v>
      </c>
      <c r="W78" s="173">
        <v>3497</v>
      </c>
      <c r="X78" s="441">
        <f t="shared" si="35"/>
        <v>1.7692532935825351</v>
      </c>
      <c r="Y78" s="565">
        <v>0</v>
      </c>
      <c r="Z78" s="441">
        <f t="shared" si="36"/>
        <v>0</v>
      </c>
      <c r="AA78" s="565">
        <v>0</v>
      </c>
      <c r="AB78" s="441">
        <f t="shared" si="37"/>
        <v>0</v>
      </c>
      <c r="AC78" s="565">
        <v>0</v>
      </c>
      <c r="AD78" s="441">
        <f t="shared" si="38"/>
        <v>0</v>
      </c>
      <c r="AE78" s="576">
        <f t="shared" si="41"/>
        <v>17046</v>
      </c>
    </row>
    <row r="79" spans="1:31" ht="8.25">
      <c r="A79" s="222" t="s">
        <v>472</v>
      </c>
      <c r="B79" s="29" t="s">
        <v>260</v>
      </c>
      <c r="C79" s="446">
        <v>24</v>
      </c>
      <c r="D79" s="446">
        <v>59</v>
      </c>
      <c r="E79" s="33">
        <v>0.007796610169492142</v>
      </c>
      <c r="F79" s="54">
        <f t="shared" si="42"/>
        <v>23.608169350813434</v>
      </c>
      <c r="G79" s="568">
        <v>9.26</v>
      </c>
      <c r="H79" s="568">
        <v>2001</v>
      </c>
      <c r="I79" s="576">
        <f t="shared" si="29"/>
        <v>17046</v>
      </c>
      <c r="J79" s="50">
        <f t="shared" si="30"/>
        <v>2.7222968176847804</v>
      </c>
      <c r="K79" s="50">
        <f t="shared" si="28"/>
        <v>7.1803004855934915</v>
      </c>
      <c r="L79" s="107">
        <f t="shared" si="39"/>
        <v>23.608169350813434</v>
      </c>
      <c r="M79" s="416">
        <v>12613</v>
      </c>
      <c r="N79" s="50">
        <f t="shared" si="40"/>
        <v>6.381353100359313</v>
      </c>
      <c r="O79" s="565">
        <v>868</v>
      </c>
      <c r="P79" s="441">
        <f t="shared" si="31"/>
        <v>0.4391512321503118</v>
      </c>
      <c r="Q79" s="565">
        <v>0</v>
      </c>
      <c r="R79" s="441">
        <f t="shared" si="32"/>
        <v>0</v>
      </c>
      <c r="S79" s="565">
        <v>0</v>
      </c>
      <c r="T79" s="441">
        <f t="shared" si="33"/>
        <v>0</v>
      </c>
      <c r="U79" s="565">
        <v>68</v>
      </c>
      <c r="V79" s="441">
        <f t="shared" si="34"/>
        <v>0.03440355274910277</v>
      </c>
      <c r="W79" s="173">
        <v>3497</v>
      </c>
      <c r="X79" s="441">
        <f t="shared" si="35"/>
        <v>1.7692532935825351</v>
      </c>
      <c r="Y79" s="565">
        <v>0</v>
      </c>
      <c r="Z79" s="441">
        <f t="shared" si="36"/>
        <v>0</v>
      </c>
      <c r="AA79" s="565">
        <v>0</v>
      </c>
      <c r="AB79" s="441">
        <f t="shared" si="37"/>
        <v>0</v>
      </c>
      <c r="AC79" s="565">
        <v>0</v>
      </c>
      <c r="AD79" s="441">
        <f t="shared" si="38"/>
        <v>0</v>
      </c>
      <c r="AE79" s="576">
        <f t="shared" si="41"/>
        <v>17046</v>
      </c>
    </row>
    <row r="80" spans="1:31" ht="8.25">
      <c r="A80" s="222" t="s">
        <v>472</v>
      </c>
      <c r="C80" s="446">
        <v>21</v>
      </c>
      <c r="D80" s="446">
        <v>130</v>
      </c>
      <c r="E80" s="33">
        <v>0.001230769230768986</v>
      </c>
      <c r="F80" s="54">
        <f t="shared" si="42"/>
        <v>6.569864177142035</v>
      </c>
      <c r="G80" s="568">
        <v>9.26</v>
      </c>
      <c r="H80" s="568">
        <v>2001</v>
      </c>
      <c r="I80" s="576">
        <f t="shared" si="29"/>
        <v>17046</v>
      </c>
      <c r="J80" s="50">
        <f t="shared" si="30"/>
        <v>2.7222968176847804</v>
      </c>
      <c r="K80" s="50">
        <f t="shared" si="28"/>
        <v>7.1803004855934915</v>
      </c>
      <c r="L80" s="107">
        <f t="shared" si="39"/>
        <v>6.569864177142035</v>
      </c>
      <c r="M80" s="416">
        <v>12613</v>
      </c>
      <c r="N80" s="50">
        <f t="shared" si="40"/>
        <v>6.381353100359313</v>
      </c>
      <c r="O80" s="565">
        <v>868</v>
      </c>
      <c r="P80" s="441">
        <f t="shared" si="31"/>
        <v>0.4391512321503118</v>
      </c>
      <c r="Q80" s="565">
        <v>0</v>
      </c>
      <c r="R80" s="441">
        <f t="shared" si="32"/>
        <v>0</v>
      </c>
      <c r="S80" s="565">
        <v>0</v>
      </c>
      <c r="T80" s="441">
        <f t="shared" si="33"/>
        <v>0</v>
      </c>
      <c r="U80" s="565">
        <v>68</v>
      </c>
      <c r="V80" s="441">
        <f t="shared" si="34"/>
        <v>0.03440355274910277</v>
      </c>
      <c r="W80" s="173">
        <v>3497</v>
      </c>
      <c r="X80" s="441">
        <f t="shared" si="35"/>
        <v>1.7692532935825351</v>
      </c>
      <c r="Y80" s="565">
        <v>0</v>
      </c>
      <c r="Z80" s="441">
        <f t="shared" si="36"/>
        <v>0</v>
      </c>
      <c r="AA80" s="565">
        <v>0</v>
      </c>
      <c r="AB80" s="441">
        <f t="shared" si="37"/>
        <v>0</v>
      </c>
      <c r="AC80" s="565">
        <v>0</v>
      </c>
      <c r="AD80" s="441">
        <f t="shared" si="38"/>
        <v>0</v>
      </c>
      <c r="AE80" s="576">
        <f t="shared" si="41"/>
        <v>17046</v>
      </c>
    </row>
    <row r="81" spans="1:31" ht="8.25">
      <c r="A81" s="437" t="s">
        <v>472</v>
      </c>
      <c r="C81" s="446">
        <v>21</v>
      </c>
      <c r="D81" s="446">
        <v>62</v>
      </c>
      <c r="E81" s="33">
        <v>0.0011290322580653229</v>
      </c>
      <c r="F81" s="54">
        <f t="shared" si="42"/>
        <v>6.292471414363857</v>
      </c>
      <c r="G81" s="568">
        <v>9.26</v>
      </c>
      <c r="H81" s="568">
        <v>2001</v>
      </c>
      <c r="I81" s="576">
        <f t="shared" si="29"/>
        <v>17046</v>
      </c>
      <c r="J81" s="50">
        <f t="shared" si="30"/>
        <v>2.7222968176847804</v>
      </c>
      <c r="K81" s="50">
        <f t="shared" si="28"/>
        <v>7.1803004855934915</v>
      </c>
      <c r="L81" s="107">
        <f t="shared" si="39"/>
        <v>6.292471414363857</v>
      </c>
      <c r="M81" s="416">
        <v>12613</v>
      </c>
      <c r="N81" s="50">
        <f t="shared" si="40"/>
        <v>6.381353100359313</v>
      </c>
      <c r="O81" s="565">
        <v>868</v>
      </c>
      <c r="P81" s="441">
        <f t="shared" si="31"/>
        <v>0.4391512321503118</v>
      </c>
      <c r="Q81" s="565">
        <v>0</v>
      </c>
      <c r="R81" s="441">
        <f t="shared" si="32"/>
        <v>0</v>
      </c>
      <c r="S81" s="565">
        <v>0</v>
      </c>
      <c r="T81" s="441">
        <f t="shared" si="33"/>
        <v>0</v>
      </c>
      <c r="U81" s="565">
        <v>68</v>
      </c>
      <c r="V81" s="441">
        <f t="shared" si="34"/>
        <v>0.03440355274910277</v>
      </c>
      <c r="W81" s="173">
        <v>3497</v>
      </c>
      <c r="X81" s="441">
        <f t="shared" si="35"/>
        <v>1.7692532935825351</v>
      </c>
      <c r="Y81" s="565">
        <v>0</v>
      </c>
      <c r="Z81" s="441">
        <f t="shared" si="36"/>
        <v>0</v>
      </c>
      <c r="AA81" s="565">
        <v>0</v>
      </c>
      <c r="AB81" s="441">
        <f t="shared" si="37"/>
        <v>0</v>
      </c>
      <c r="AC81" s="565">
        <v>0</v>
      </c>
      <c r="AD81" s="441">
        <f t="shared" si="38"/>
        <v>0</v>
      </c>
      <c r="AE81" s="576">
        <f t="shared" si="41"/>
        <v>17046</v>
      </c>
    </row>
    <row r="82" spans="1:31" ht="8.25">
      <c r="A82" s="438" t="s">
        <v>473</v>
      </c>
      <c r="B82" s="31"/>
      <c r="C82" s="70"/>
      <c r="D82" s="70"/>
      <c r="E82" s="91"/>
      <c r="F82" s="61"/>
      <c r="G82" s="58"/>
      <c r="H82" s="43"/>
      <c r="I82" s="55"/>
      <c r="J82" s="58"/>
      <c r="K82" s="58"/>
      <c r="L82" s="108"/>
      <c r="M82" s="439"/>
      <c r="N82" s="58"/>
      <c r="O82" s="135"/>
      <c r="P82" s="440"/>
      <c r="Q82" s="135"/>
      <c r="R82" s="440"/>
      <c r="S82" s="135"/>
      <c r="T82" s="440"/>
      <c r="U82" s="135"/>
      <c r="V82" s="440"/>
      <c r="W82" s="55"/>
      <c r="X82" s="440"/>
      <c r="Y82" s="135"/>
      <c r="Z82" s="440"/>
      <c r="AA82" s="135"/>
      <c r="AB82" s="440"/>
      <c r="AC82" s="135"/>
      <c r="AD82" s="440"/>
      <c r="AE82" s="55"/>
    </row>
    <row r="83" spans="1:31" ht="8.25">
      <c r="A83" s="222"/>
      <c r="J83" s="22"/>
      <c r="M83" s="22"/>
      <c r="W83" s="22"/>
      <c r="AE83" s="22"/>
    </row>
    <row r="84" spans="13:31" ht="8.25">
      <c r="M84" s="416"/>
      <c r="O84" s="568"/>
      <c r="Q84" s="568"/>
      <c r="S84" s="568"/>
      <c r="U84" s="568"/>
      <c r="W84" s="576"/>
      <c r="Y84" s="568"/>
      <c r="AA84" s="568"/>
      <c r="AC84" s="568"/>
      <c r="AE84" s="576"/>
    </row>
    <row r="89" ht="8.25"/>
    <row r="90" ht="8.25"/>
    <row r="91" ht="8.25"/>
    <row r="92" ht="8.25"/>
    <row r="93" ht="8.25"/>
    <row r="94" ht="8.25"/>
  </sheetData>
  <sheetProtection/>
  <mergeCells count="1">
    <mergeCell ref="A6:B6"/>
  </mergeCells>
  <printOptions horizontalCentered="1"/>
  <pageMargins left="0.47" right="0.27" top="0.28" bottom="0.28" header="0.3" footer="0.3"/>
  <pageSetup fitToHeight="1" fitToWidth="1" horizontalDpi="600" verticalDpi="600" orientation="landscape" scale="74" r:id="rId3"/>
  <headerFooter alignWithMargins="0">
    <oddFooter>&amp;L&amp;8Revised:                                 6/1/2012
App. by OSG Tech. Comm.&amp;CPage 13 of 13 Pages</oddFooter>
  </headerFooter>
  <rowBreaks count="1" manualBreakCount="1">
    <brk id="76" max="255" man="1"/>
  </rowBreaks>
  <colBreaks count="1" manualBreakCount="1">
    <brk id="8" max="65535" man="1"/>
  </colBreaks>
  <legacyDrawing r:id="rId2"/>
</worksheet>
</file>

<file path=xl/worksheets/sheet21.xml><?xml version="1.0" encoding="utf-8"?>
<worksheet xmlns="http://schemas.openxmlformats.org/spreadsheetml/2006/main" xmlns:r="http://schemas.openxmlformats.org/officeDocument/2006/relationships">
  <sheetPr>
    <pageSetUpPr fitToPage="1"/>
  </sheetPr>
  <dimension ref="A1:Z78"/>
  <sheetViews>
    <sheetView view="pageLayout" zoomScale="0" zoomScaleSheetLayoutView="100" zoomScalePageLayoutView="0" workbookViewId="0" topLeftCell="A1">
      <selection activeCell="G28" sqref="G28"/>
      <selection activeCell="A1" sqref="A1"/>
    </sheetView>
  </sheetViews>
  <sheetFormatPr defaultColWidth="16.140625" defaultRowHeight="12.75"/>
  <cols>
    <col min="1" max="1" width="18.28125" style="226" customWidth="1"/>
    <col min="2" max="2" width="4.57421875" style="226" customWidth="1"/>
    <col min="3" max="3" width="5.8515625" style="226" customWidth="1"/>
    <col min="4" max="6" width="4.7109375" style="226" customWidth="1"/>
    <col min="7" max="7" width="6.8515625" style="226" customWidth="1"/>
    <col min="8" max="24" width="4.7109375" style="226" customWidth="1"/>
    <col min="25" max="25" width="7.00390625" style="226" customWidth="1"/>
    <col min="26" max="16384" width="16.140625" style="226" customWidth="1"/>
  </cols>
  <sheetData>
    <row r="1" spans="1:9" s="231" customFormat="1" ht="14.25">
      <c r="A1" s="166" t="s">
        <v>478</v>
      </c>
      <c r="B1" s="166"/>
      <c r="C1" s="166"/>
      <c r="D1" s="225"/>
      <c r="E1" s="250"/>
      <c r="F1" s="225"/>
      <c r="G1" s="251"/>
      <c r="H1" s="225"/>
      <c r="I1" s="252"/>
    </row>
    <row r="2" spans="1:9" s="231" customFormat="1" ht="14.25">
      <c r="A2" s="166" t="s">
        <v>1</v>
      </c>
      <c r="B2" s="166"/>
      <c r="C2" s="166"/>
      <c r="D2" s="225"/>
      <c r="E2" s="250"/>
      <c r="F2" s="225"/>
      <c r="G2" s="251"/>
      <c r="H2" s="225"/>
      <c r="I2" s="252"/>
    </row>
    <row r="3" spans="1:9" s="231" customFormat="1" ht="14.25">
      <c r="A3" s="166" t="s">
        <v>2</v>
      </c>
      <c r="B3" s="166"/>
      <c r="C3" s="166"/>
      <c r="D3" s="225"/>
      <c r="E3" s="250"/>
      <c r="F3" s="225"/>
      <c r="G3" s="251"/>
      <c r="H3" s="225"/>
      <c r="I3" s="252"/>
    </row>
    <row r="4" spans="1:9" s="231" customFormat="1" ht="14.25">
      <c r="A4" s="166" t="s">
        <v>173</v>
      </c>
      <c r="B4" s="166"/>
      <c r="C4" s="166"/>
      <c r="D4" s="225"/>
      <c r="E4" s="250"/>
      <c r="F4" s="225"/>
      <c r="G4" s="251"/>
      <c r="H4" s="225"/>
      <c r="I4" s="252"/>
    </row>
    <row r="5" spans="1:9" s="231" customFormat="1" ht="12" customHeight="1">
      <c r="A5" s="69" t="s">
        <v>479</v>
      </c>
      <c r="B5" s="225"/>
      <c r="C5" s="225"/>
      <c r="D5" s="225"/>
      <c r="E5" s="250"/>
      <c r="F5" s="225"/>
      <c r="G5" s="251"/>
      <c r="H5" s="225"/>
      <c r="I5" s="252"/>
    </row>
    <row r="6" spans="2:26" ht="12.75" customHeight="1">
      <c r="B6" s="607" t="s">
        <v>175</v>
      </c>
      <c r="C6" s="607"/>
      <c r="D6" s="587"/>
      <c r="E6" s="568" t="s">
        <v>203</v>
      </c>
      <c r="F6" s="566" t="s">
        <v>204</v>
      </c>
      <c r="G6" s="586" t="s">
        <v>44</v>
      </c>
      <c r="H6" s="588"/>
      <c r="I6" s="673" t="s">
        <v>8</v>
      </c>
      <c r="J6" s="671"/>
      <c r="K6" s="673" t="s">
        <v>450</v>
      </c>
      <c r="L6" s="671"/>
      <c r="M6" s="673" t="s">
        <v>35</v>
      </c>
      <c r="N6" s="671"/>
      <c r="O6" s="673" t="s">
        <v>178</v>
      </c>
      <c r="P6" s="671"/>
      <c r="Q6" s="673" t="s">
        <v>418</v>
      </c>
      <c r="R6" s="671"/>
      <c r="S6" s="673" t="s">
        <v>37</v>
      </c>
      <c r="T6" s="671"/>
      <c r="U6" s="673" t="s">
        <v>68</v>
      </c>
      <c r="V6" s="671"/>
      <c r="W6" s="673" t="s">
        <v>66</v>
      </c>
      <c r="X6" s="671"/>
      <c r="Y6" s="568" t="s">
        <v>7</v>
      </c>
      <c r="Z6" s="227"/>
    </row>
    <row r="7" spans="1:26" ht="17.25" thickBot="1">
      <c r="A7" s="232" t="s">
        <v>214</v>
      </c>
      <c r="B7" s="78" t="s">
        <v>212</v>
      </c>
      <c r="C7" s="82" t="s">
        <v>477</v>
      </c>
      <c r="D7" s="174" t="s">
        <v>185</v>
      </c>
      <c r="E7" s="78" t="s">
        <v>204</v>
      </c>
      <c r="F7" s="174" t="s">
        <v>199</v>
      </c>
      <c r="G7" s="184" t="s">
        <v>187</v>
      </c>
      <c r="H7" s="186" t="s">
        <v>200</v>
      </c>
      <c r="I7" s="184" t="s">
        <v>187</v>
      </c>
      <c r="J7" s="185" t="s">
        <v>200</v>
      </c>
      <c r="K7" s="184" t="s">
        <v>187</v>
      </c>
      <c r="L7" s="185" t="s">
        <v>200</v>
      </c>
      <c r="M7" s="184" t="s">
        <v>187</v>
      </c>
      <c r="N7" s="185" t="s">
        <v>200</v>
      </c>
      <c r="O7" s="184" t="s">
        <v>187</v>
      </c>
      <c r="P7" s="185" t="s">
        <v>200</v>
      </c>
      <c r="Q7" s="184" t="s">
        <v>187</v>
      </c>
      <c r="R7" s="185" t="s">
        <v>200</v>
      </c>
      <c r="S7" s="184" t="s">
        <v>187</v>
      </c>
      <c r="T7" s="185" t="s">
        <v>200</v>
      </c>
      <c r="U7" s="184" t="s">
        <v>187</v>
      </c>
      <c r="V7" s="185" t="s">
        <v>200</v>
      </c>
      <c r="W7" s="184" t="s">
        <v>187</v>
      </c>
      <c r="X7" s="185" t="s">
        <v>200</v>
      </c>
      <c r="Y7" s="78" t="s">
        <v>187</v>
      </c>
      <c r="Z7" s="227"/>
    </row>
    <row r="8" spans="1:26" ht="9" thickTop="1">
      <c r="A8" s="421" t="s">
        <v>476</v>
      </c>
      <c r="B8" s="429">
        <v>2006</v>
      </c>
      <c r="C8" s="422">
        <f>Y8</f>
        <v>28325</v>
      </c>
      <c r="D8" s="423">
        <f>(18+SQRT(C8/1000))/(4+SQRT(C8/1000))</f>
        <v>2.501803724796508</v>
      </c>
      <c r="E8" s="424">
        <f>C8*100*D8/(7.48*24*60*60)</f>
        <v>10.964979220028267</v>
      </c>
      <c r="F8" s="425">
        <v>10.51</v>
      </c>
      <c r="G8" s="417">
        <v>13984</v>
      </c>
      <c r="H8" s="418">
        <f>$D$8*100*G8/(7.48*24*60*60)</f>
        <v>5.413389917488979</v>
      </c>
      <c r="I8" s="417">
        <v>1691</v>
      </c>
      <c r="J8" s="418">
        <f>$D$8*100*I8/(7.48*24*60*60)</f>
        <v>0.6546082916528791</v>
      </c>
      <c r="K8" s="417">
        <v>412</v>
      </c>
      <c r="L8" s="418">
        <f>$D$8*100*K8/(7.48*24*60*60)</f>
        <v>0.1594906068367748</v>
      </c>
      <c r="M8" s="417">
        <v>2997</v>
      </c>
      <c r="N8" s="418">
        <f>$D$8*100*M8/(7.48*24*60*60)</f>
        <v>1.1601780308005196</v>
      </c>
      <c r="O8" s="417">
        <v>1240</v>
      </c>
      <c r="P8" s="418">
        <f>$D$8*100*O8/(7.48*24*60*60)</f>
        <v>0.48002027300388533</v>
      </c>
      <c r="Q8" s="417">
        <v>3120</v>
      </c>
      <c r="R8" s="418">
        <f>$D$8*100*Q8/(7.48*24*60*60)</f>
        <v>1.207792944977518</v>
      </c>
      <c r="S8" s="417">
        <v>516</v>
      </c>
      <c r="T8" s="418">
        <f>$D$8*100*S8/(7.48*24*60*60)</f>
        <v>0.19975037166935874</v>
      </c>
      <c r="U8" s="417">
        <v>3497</v>
      </c>
      <c r="V8" s="418">
        <f>$D$8*100*U8/(7.48*24*60*60)</f>
        <v>1.3537345924956348</v>
      </c>
      <c r="W8" s="417">
        <v>868</v>
      </c>
      <c r="X8" s="418">
        <f>$D$8*100*W8/(7.48*24*60*60)</f>
        <v>0.33601419110271974</v>
      </c>
      <c r="Y8" s="419">
        <f>W8+U8+S8+Q8+O8+M8+K8+I8+G8</f>
        <v>28325</v>
      </c>
      <c r="Z8" s="227"/>
    </row>
    <row r="9" spans="1:26" ht="8.25">
      <c r="A9" s="255" t="s">
        <v>502</v>
      </c>
      <c r="B9" s="430">
        <v>2006</v>
      </c>
      <c r="C9" s="431">
        <f>C8</f>
        <v>28325</v>
      </c>
      <c r="D9" s="428"/>
      <c r="E9" s="427"/>
      <c r="F9" s="255"/>
      <c r="G9" s="255"/>
      <c r="H9" s="255"/>
      <c r="I9" s="255"/>
      <c r="J9" s="255"/>
      <c r="K9" s="255"/>
      <c r="L9" s="255"/>
      <c r="M9" s="255"/>
      <c r="N9" s="255"/>
      <c r="O9" s="255"/>
      <c r="P9" s="255"/>
      <c r="Q9" s="255"/>
      <c r="R9" s="255"/>
      <c r="S9" s="255"/>
      <c r="T9" s="43"/>
      <c r="U9" s="255"/>
      <c r="V9" s="255"/>
      <c r="W9" s="255"/>
      <c r="X9" s="255"/>
      <c r="Y9" s="255"/>
      <c r="Z9" s="227"/>
    </row>
    <row r="10" spans="1:26" ht="8.25">
      <c r="A10" s="227"/>
      <c r="B10" s="229"/>
      <c r="C10" s="227"/>
      <c r="D10" s="228"/>
      <c r="E10" s="229"/>
      <c r="F10" s="227"/>
      <c r="G10" s="227"/>
      <c r="H10" s="227"/>
      <c r="I10" s="227"/>
      <c r="J10" s="227"/>
      <c r="K10" s="227"/>
      <c r="L10" s="227"/>
      <c r="M10" s="227"/>
      <c r="N10" s="227"/>
      <c r="O10" s="227"/>
      <c r="P10" s="227"/>
      <c r="Q10" s="227"/>
      <c r="R10" s="227"/>
      <c r="S10" s="227"/>
      <c r="T10" s="227"/>
      <c r="U10" s="227"/>
      <c r="V10" s="227"/>
      <c r="W10" s="227"/>
      <c r="X10" s="227"/>
      <c r="Y10" s="227"/>
      <c r="Z10" s="227"/>
    </row>
    <row r="11" spans="1:26" ht="8.25">
      <c r="A11" s="426"/>
      <c r="B11" s="229"/>
      <c r="C11" s="227"/>
      <c r="D11" s="228"/>
      <c r="E11" s="229"/>
      <c r="F11" s="227"/>
      <c r="G11" s="227"/>
      <c r="H11" s="227"/>
      <c r="I11" s="227"/>
      <c r="J11" s="227"/>
      <c r="K11" s="227"/>
      <c r="L11" s="227"/>
      <c r="M11" s="227"/>
      <c r="N11" s="227"/>
      <c r="O11" s="227"/>
      <c r="P11" s="227"/>
      <c r="Q11" s="227"/>
      <c r="R11" s="227"/>
      <c r="S11" s="227"/>
      <c r="T11" s="227"/>
      <c r="U11" s="227"/>
      <c r="V11" s="227"/>
      <c r="W11" s="227"/>
      <c r="X11" s="227"/>
      <c r="Y11" s="227"/>
      <c r="Z11" s="227"/>
    </row>
    <row r="12" spans="1:26" ht="8.25">
      <c r="A12" s="426"/>
      <c r="B12" s="229"/>
      <c r="C12" s="227"/>
      <c r="D12" s="228"/>
      <c r="E12" s="229"/>
      <c r="F12" s="227"/>
      <c r="G12" s="227"/>
      <c r="H12" s="227"/>
      <c r="I12" s="227"/>
      <c r="J12" s="227"/>
      <c r="K12" s="227"/>
      <c r="L12" s="227"/>
      <c r="M12" s="227"/>
      <c r="N12" s="227"/>
      <c r="O12" s="227"/>
      <c r="P12" s="227"/>
      <c r="Q12" s="227"/>
      <c r="R12" s="227"/>
      <c r="S12" s="227"/>
      <c r="T12" s="227"/>
      <c r="U12" s="227"/>
      <c r="V12" s="227"/>
      <c r="W12" s="227"/>
      <c r="X12" s="227"/>
      <c r="Y12" s="227"/>
      <c r="Z12" s="227"/>
    </row>
    <row r="13" spans="1:26" ht="8.25">
      <c r="A13" s="426"/>
      <c r="B13" s="229"/>
      <c r="C13" s="227"/>
      <c r="D13" s="228"/>
      <c r="E13" s="229"/>
      <c r="F13" s="227"/>
      <c r="G13" s="227"/>
      <c r="H13" s="227"/>
      <c r="I13" s="227"/>
      <c r="J13" s="227"/>
      <c r="K13" s="227"/>
      <c r="L13" s="227"/>
      <c r="M13" s="227"/>
      <c r="N13" s="227"/>
      <c r="O13" s="227"/>
      <c r="P13" s="227"/>
      <c r="Q13" s="227"/>
      <c r="R13" s="227"/>
      <c r="S13" s="227"/>
      <c r="T13" s="227"/>
      <c r="U13" s="227"/>
      <c r="V13" s="227"/>
      <c r="W13" s="227"/>
      <c r="X13" s="227"/>
      <c r="Y13" s="227"/>
      <c r="Z13" s="227"/>
    </row>
    <row r="14" spans="1:26" ht="8.25">
      <c r="A14" s="227"/>
      <c r="B14" s="229"/>
      <c r="C14" s="227"/>
      <c r="D14" s="228"/>
      <c r="E14" s="229"/>
      <c r="F14" s="227"/>
      <c r="G14" s="227"/>
      <c r="H14" s="227"/>
      <c r="I14" s="227"/>
      <c r="J14" s="227"/>
      <c r="K14" s="227"/>
      <c r="L14" s="227"/>
      <c r="M14" s="227"/>
      <c r="N14" s="227"/>
      <c r="O14" s="227"/>
      <c r="P14" s="227"/>
      <c r="Q14" s="227"/>
      <c r="R14" s="227"/>
      <c r="S14" s="227"/>
      <c r="T14" s="227"/>
      <c r="U14" s="227"/>
      <c r="V14" s="227"/>
      <c r="W14" s="227"/>
      <c r="X14" s="227"/>
      <c r="Y14" s="227"/>
      <c r="Z14" s="227"/>
    </row>
    <row r="15" spans="1:26" ht="8.25">
      <c r="A15" s="227"/>
      <c r="B15" s="229"/>
      <c r="C15" s="227"/>
      <c r="D15" s="228"/>
      <c r="E15" s="229"/>
      <c r="F15" s="227"/>
      <c r="G15" s="227"/>
      <c r="H15" s="227"/>
      <c r="I15" s="227"/>
      <c r="J15" s="227"/>
      <c r="K15" s="227"/>
      <c r="L15" s="227"/>
      <c r="M15" s="227"/>
      <c r="N15" s="227"/>
      <c r="O15" s="227"/>
      <c r="P15" s="227"/>
      <c r="Q15" s="227"/>
      <c r="R15" s="227"/>
      <c r="S15" s="227"/>
      <c r="T15" s="227"/>
      <c r="U15" s="227"/>
      <c r="V15" s="227"/>
      <c r="W15" s="227"/>
      <c r="X15" s="227"/>
      <c r="Y15" s="227"/>
      <c r="Z15" s="227"/>
    </row>
    <row r="16" spans="1:26" ht="8.25">
      <c r="A16" s="227"/>
      <c r="B16" s="229"/>
      <c r="C16" s="227"/>
      <c r="D16" s="228"/>
      <c r="E16" s="229"/>
      <c r="F16" s="227"/>
      <c r="G16" s="227"/>
      <c r="H16" s="227"/>
      <c r="I16" s="227"/>
      <c r="J16" s="227"/>
      <c r="K16" s="227"/>
      <c r="L16" s="227"/>
      <c r="M16" s="227"/>
      <c r="N16" s="227"/>
      <c r="O16" s="227"/>
      <c r="P16" s="227"/>
      <c r="Q16" s="227"/>
      <c r="R16" s="227"/>
      <c r="S16" s="227"/>
      <c r="T16" s="227"/>
      <c r="U16" s="227"/>
      <c r="V16" s="227"/>
      <c r="W16" s="227"/>
      <c r="X16" s="227"/>
      <c r="Y16" s="227"/>
      <c r="Z16" s="227"/>
    </row>
    <row r="17" spans="1:26" ht="8.25">
      <c r="A17" s="227"/>
      <c r="B17" s="229"/>
      <c r="C17" s="558"/>
      <c r="D17" s="228"/>
      <c r="E17" s="229"/>
      <c r="F17" s="227"/>
      <c r="G17" s="227"/>
      <c r="H17" s="227"/>
      <c r="I17" s="227"/>
      <c r="J17" s="227"/>
      <c r="K17" s="227"/>
      <c r="L17" s="227"/>
      <c r="M17" s="227"/>
      <c r="N17" s="227"/>
      <c r="O17" s="227"/>
      <c r="P17" s="227"/>
      <c r="Q17" s="227"/>
      <c r="R17" s="227"/>
      <c r="S17" s="227"/>
      <c r="T17" s="227"/>
      <c r="U17" s="227"/>
      <c r="V17" s="227"/>
      <c r="W17" s="227"/>
      <c r="X17" s="227"/>
      <c r="Y17" s="227"/>
      <c r="Z17" s="227"/>
    </row>
    <row r="18" spans="1:26" ht="8.25">
      <c r="A18" s="227"/>
      <c r="B18" s="227"/>
      <c r="C18" s="227"/>
      <c r="D18" s="227"/>
      <c r="E18" s="227"/>
      <c r="F18" s="227"/>
      <c r="G18" s="227"/>
      <c r="H18" s="227"/>
      <c r="I18" s="227"/>
      <c r="J18" s="227"/>
      <c r="K18" s="227"/>
      <c r="L18" s="227"/>
      <c r="M18" s="227"/>
      <c r="N18" s="227"/>
      <c r="O18" s="227"/>
      <c r="P18" s="227"/>
      <c r="Q18" s="227"/>
      <c r="R18" s="227"/>
      <c r="S18" s="227"/>
      <c r="T18" s="227"/>
      <c r="U18" s="227"/>
      <c r="V18" s="227"/>
      <c r="W18" s="227"/>
      <c r="X18" s="227"/>
      <c r="Y18" s="227"/>
      <c r="Z18" s="227"/>
    </row>
    <row r="19" spans="1:26" ht="8.25">
      <c r="A19" s="227"/>
      <c r="B19" s="557"/>
      <c r="C19" s="227"/>
      <c r="D19" s="227"/>
      <c r="E19" s="227"/>
      <c r="F19" s="227"/>
      <c r="G19" s="227"/>
      <c r="H19" s="227"/>
      <c r="I19" s="227"/>
      <c r="J19" s="227"/>
      <c r="K19" s="227"/>
      <c r="L19" s="227"/>
      <c r="M19" s="227"/>
      <c r="N19" s="227"/>
      <c r="O19" s="227"/>
      <c r="P19" s="227"/>
      <c r="Q19" s="227"/>
      <c r="R19" s="227"/>
      <c r="S19" s="227"/>
      <c r="T19" s="227"/>
      <c r="U19" s="227"/>
      <c r="V19" s="227"/>
      <c r="W19" s="227"/>
      <c r="X19" s="227"/>
      <c r="Y19" s="227"/>
      <c r="Z19" s="227"/>
    </row>
    <row r="20" spans="1:26" ht="8.25">
      <c r="A20" s="227"/>
      <c r="B20" s="227"/>
      <c r="C20" s="227"/>
      <c r="D20" s="227"/>
      <c r="E20" s="227"/>
      <c r="F20" s="227"/>
      <c r="G20" s="227"/>
      <c r="H20" s="227"/>
      <c r="I20" s="227"/>
      <c r="J20" s="227"/>
      <c r="K20" s="227"/>
      <c r="L20" s="227"/>
      <c r="M20" s="227"/>
      <c r="N20" s="227"/>
      <c r="O20" s="227"/>
      <c r="P20" s="227"/>
      <c r="Q20" s="227"/>
      <c r="R20" s="227"/>
      <c r="S20" s="227"/>
      <c r="T20" s="227"/>
      <c r="U20" s="227"/>
      <c r="V20" s="227"/>
      <c r="W20" s="227"/>
      <c r="X20" s="227"/>
      <c r="Y20" s="227"/>
      <c r="Z20" s="227"/>
    </row>
    <row r="21" spans="1:26" ht="8.25">
      <c r="A21" s="227"/>
      <c r="B21" s="227"/>
      <c r="C21" s="227"/>
      <c r="D21" s="227"/>
      <c r="E21" s="227"/>
      <c r="F21" s="227"/>
      <c r="G21" s="227"/>
      <c r="H21" s="227"/>
      <c r="I21" s="227"/>
      <c r="J21" s="227"/>
      <c r="K21" s="227"/>
      <c r="L21" s="227"/>
      <c r="M21" s="227"/>
      <c r="N21" s="227"/>
      <c r="O21" s="227"/>
      <c r="P21" s="227"/>
      <c r="Q21" s="227"/>
      <c r="R21" s="227"/>
      <c r="S21" s="227"/>
      <c r="T21" s="227"/>
      <c r="U21" s="227"/>
      <c r="V21" s="227"/>
      <c r="W21" s="227"/>
      <c r="X21" s="227"/>
      <c r="Y21" s="227"/>
      <c r="Z21" s="227"/>
    </row>
    <row r="22" spans="1:26" ht="8.25">
      <c r="A22" s="227"/>
      <c r="B22" s="230"/>
      <c r="C22" s="227"/>
      <c r="D22" s="227"/>
      <c r="E22" s="230"/>
      <c r="F22" s="227"/>
      <c r="G22" s="227"/>
      <c r="H22" s="227"/>
      <c r="I22" s="227"/>
      <c r="J22" s="227"/>
      <c r="K22" s="227"/>
      <c r="L22" s="227"/>
      <c r="M22" s="227"/>
      <c r="N22" s="227"/>
      <c r="O22" s="227"/>
      <c r="P22" s="227"/>
      <c r="Q22" s="227"/>
      <c r="R22" s="227"/>
      <c r="S22" s="227"/>
      <c r="T22" s="227"/>
      <c r="U22" s="227"/>
      <c r="V22" s="227"/>
      <c r="W22" s="227"/>
      <c r="X22" s="227"/>
      <c r="Y22" s="227"/>
      <c r="Z22" s="227"/>
    </row>
    <row r="23" spans="1:26" ht="8.25">
      <c r="A23" s="227"/>
      <c r="B23" s="230"/>
      <c r="C23" s="227"/>
      <c r="D23" s="227"/>
      <c r="E23" s="230"/>
      <c r="F23" s="227"/>
      <c r="G23" s="227"/>
      <c r="H23" s="227"/>
      <c r="I23" s="227"/>
      <c r="J23" s="227"/>
      <c r="K23" s="227"/>
      <c r="L23" s="227"/>
      <c r="M23" s="227"/>
      <c r="N23" s="227"/>
      <c r="O23" s="227"/>
      <c r="P23" s="227"/>
      <c r="Q23" s="227"/>
      <c r="R23" s="227"/>
      <c r="S23" s="227"/>
      <c r="T23" s="227"/>
      <c r="U23" s="227"/>
      <c r="V23" s="227"/>
      <c r="W23" s="227"/>
      <c r="X23" s="227"/>
      <c r="Y23" s="227"/>
      <c r="Z23" s="227"/>
    </row>
    <row r="24" spans="1:26" ht="8.25">
      <c r="A24" s="227"/>
      <c r="B24" s="230"/>
      <c r="C24" s="227"/>
      <c r="D24" s="227"/>
      <c r="E24" s="230"/>
      <c r="F24" s="227"/>
      <c r="G24" s="227"/>
      <c r="H24" s="227"/>
      <c r="I24" s="227"/>
      <c r="J24" s="227"/>
      <c r="K24" s="227"/>
      <c r="L24" s="227"/>
      <c r="M24" s="227"/>
      <c r="N24" s="227"/>
      <c r="O24" s="227"/>
      <c r="P24" s="227"/>
      <c r="Q24" s="227"/>
      <c r="R24" s="227"/>
      <c r="S24" s="227"/>
      <c r="T24" s="227"/>
      <c r="U24" s="227"/>
      <c r="V24" s="227"/>
      <c r="W24" s="227"/>
      <c r="X24" s="227"/>
      <c r="Y24" s="227"/>
      <c r="Z24" s="227"/>
    </row>
    <row r="25" spans="1:26" ht="8.25">
      <c r="A25" s="227"/>
      <c r="B25" s="229"/>
      <c r="C25" s="227"/>
      <c r="D25" s="227"/>
      <c r="E25" s="229"/>
      <c r="F25" s="227"/>
      <c r="G25" s="227"/>
      <c r="H25" s="227"/>
      <c r="I25" s="227"/>
      <c r="J25" s="227"/>
      <c r="K25" s="227"/>
      <c r="L25" s="227"/>
      <c r="M25" s="227"/>
      <c r="N25" s="227"/>
      <c r="O25" s="227"/>
      <c r="P25" s="227"/>
      <c r="Q25" s="227"/>
      <c r="R25" s="227"/>
      <c r="S25" s="227"/>
      <c r="T25" s="227"/>
      <c r="U25" s="227"/>
      <c r="V25" s="227"/>
      <c r="W25" s="227"/>
      <c r="X25" s="227"/>
      <c r="Y25" s="227"/>
      <c r="Z25" s="227"/>
    </row>
    <row r="26" spans="1:26" ht="8.25">
      <c r="A26" s="227"/>
      <c r="B26" s="229"/>
      <c r="C26" s="227"/>
      <c r="D26" s="227"/>
      <c r="E26" s="229"/>
      <c r="F26" s="227"/>
      <c r="G26" s="227"/>
      <c r="H26" s="227"/>
      <c r="I26" s="227"/>
      <c r="J26" s="227"/>
      <c r="K26" s="227"/>
      <c r="L26" s="227"/>
      <c r="M26" s="227"/>
      <c r="N26" s="227"/>
      <c r="O26" s="227"/>
      <c r="P26" s="227"/>
      <c r="Q26" s="227"/>
      <c r="R26" s="227"/>
      <c r="S26" s="227"/>
      <c r="T26" s="227"/>
      <c r="U26" s="227"/>
      <c r="V26" s="227"/>
      <c r="W26" s="227"/>
      <c r="X26" s="227"/>
      <c r="Y26" s="227"/>
      <c r="Z26" s="227"/>
    </row>
    <row r="27" spans="1:26" ht="8.25">
      <c r="A27" s="227"/>
      <c r="B27" s="229"/>
      <c r="C27" s="227"/>
      <c r="D27" s="227"/>
      <c r="E27" s="229"/>
      <c r="F27" s="227"/>
      <c r="G27" s="227"/>
      <c r="H27" s="227"/>
      <c r="I27" s="227"/>
      <c r="J27" s="227"/>
      <c r="K27" s="227"/>
      <c r="L27" s="227"/>
      <c r="M27" s="227"/>
      <c r="N27" s="227"/>
      <c r="O27" s="227"/>
      <c r="P27" s="227"/>
      <c r="Q27" s="227"/>
      <c r="R27" s="227"/>
      <c r="S27" s="227"/>
      <c r="T27" s="227"/>
      <c r="U27" s="227"/>
      <c r="V27" s="227"/>
      <c r="W27" s="227"/>
      <c r="X27" s="227"/>
      <c r="Y27" s="227"/>
      <c r="Z27" s="227"/>
    </row>
    <row r="28" spans="1:26" ht="8.25">
      <c r="A28" s="227"/>
      <c r="B28" s="227"/>
      <c r="C28" s="227"/>
      <c r="D28" s="227"/>
      <c r="E28" s="227"/>
      <c r="F28" s="227"/>
      <c r="G28" s="227"/>
      <c r="H28" s="227"/>
      <c r="I28" s="227"/>
      <c r="J28" s="227"/>
      <c r="K28" s="227"/>
      <c r="L28" s="227"/>
      <c r="M28" s="227"/>
      <c r="N28" s="227"/>
      <c r="O28" s="227"/>
      <c r="P28" s="227"/>
      <c r="Q28" s="227"/>
      <c r="R28" s="227"/>
      <c r="S28" s="227"/>
      <c r="T28" s="227"/>
      <c r="U28" s="227"/>
      <c r="V28" s="227"/>
      <c r="W28" s="227"/>
      <c r="X28" s="227"/>
      <c r="Y28" s="227"/>
      <c r="Z28" s="227"/>
    </row>
    <row r="29" spans="1:26" ht="8.25">
      <c r="A29" s="227"/>
      <c r="B29" s="227"/>
      <c r="C29" s="227"/>
      <c r="D29" s="227"/>
      <c r="E29" s="227"/>
      <c r="F29" s="227"/>
      <c r="G29" s="227"/>
      <c r="H29" s="227"/>
      <c r="I29" s="227"/>
      <c r="J29" s="227"/>
      <c r="K29" s="227"/>
      <c r="L29" s="227"/>
      <c r="M29" s="227"/>
      <c r="N29" s="227"/>
      <c r="O29" s="227"/>
      <c r="P29" s="227"/>
      <c r="Q29" s="227"/>
      <c r="R29" s="227"/>
      <c r="S29" s="227"/>
      <c r="T29" s="227"/>
      <c r="U29" s="227"/>
      <c r="V29" s="227"/>
      <c r="W29" s="227"/>
      <c r="X29" s="227"/>
      <c r="Y29" s="227"/>
      <c r="Z29" s="227"/>
    </row>
    <row r="30" spans="1:26" ht="8.25">
      <c r="A30" s="227"/>
      <c r="B30" s="227"/>
      <c r="C30" s="227"/>
      <c r="D30" s="227"/>
      <c r="E30" s="227"/>
      <c r="F30" s="227"/>
      <c r="G30" s="227"/>
      <c r="H30" s="227"/>
      <c r="I30" s="227"/>
      <c r="J30" s="227"/>
      <c r="K30" s="227"/>
      <c r="L30" s="227"/>
      <c r="M30" s="227"/>
      <c r="N30" s="227"/>
      <c r="O30" s="227"/>
      <c r="P30" s="227"/>
      <c r="Q30" s="227"/>
      <c r="R30" s="227"/>
      <c r="S30" s="227"/>
      <c r="T30" s="227"/>
      <c r="U30" s="227"/>
      <c r="V30" s="227"/>
      <c r="W30" s="227"/>
      <c r="X30" s="227"/>
      <c r="Y30" s="227"/>
      <c r="Z30" s="227"/>
    </row>
    <row r="31" spans="1:26" ht="8.25">
      <c r="A31" s="227"/>
      <c r="B31" s="227"/>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row>
    <row r="32" spans="1:26" ht="8.25">
      <c r="A32" s="227"/>
      <c r="B32" s="227"/>
      <c r="C32" s="227"/>
      <c r="D32" s="227"/>
      <c r="E32" s="227"/>
      <c r="F32" s="227"/>
      <c r="G32" s="227"/>
      <c r="H32" s="227"/>
      <c r="I32" s="227"/>
      <c r="J32" s="227"/>
      <c r="K32" s="227"/>
      <c r="L32" s="227"/>
      <c r="M32" s="227"/>
      <c r="N32" s="227"/>
      <c r="O32" s="227"/>
      <c r="P32" s="227"/>
      <c r="Q32" s="227"/>
      <c r="R32" s="227"/>
      <c r="S32" s="227"/>
      <c r="T32" s="227"/>
      <c r="U32" s="227"/>
      <c r="V32" s="227"/>
      <c r="W32" s="227"/>
      <c r="X32" s="227"/>
      <c r="Y32" s="227"/>
      <c r="Z32" s="227"/>
    </row>
    <row r="33" spans="1:26" ht="8.25">
      <c r="A33" s="227"/>
      <c r="B33" s="227"/>
      <c r="C33" s="227"/>
      <c r="D33" s="227"/>
      <c r="E33" s="227"/>
      <c r="F33" s="227"/>
      <c r="G33" s="227"/>
      <c r="H33" s="227"/>
      <c r="I33" s="227"/>
      <c r="J33" s="227"/>
      <c r="K33" s="227"/>
      <c r="L33" s="227"/>
      <c r="M33" s="227"/>
      <c r="N33" s="227"/>
      <c r="O33" s="227"/>
      <c r="P33" s="227"/>
      <c r="Q33" s="227"/>
      <c r="R33" s="227"/>
      <c r="S33" s="227"/>
      <c r="T33" s="227"/>
      <c r="U33" s="227"/>
      <c r="V33" s="227"/>
      <c r="W33" s="227"/>
      <c r="X33" s="227"/>
      <c r="Y33" s="227"/>
      <c r="Z33" s="227"/>
    </row>
    <row r="34" spans="1:26" ht="8.25">
      <c r="A34" s="227"/>
      <c r="B34" s="227"/>
      <c r="C34" s="227"/>
      <c r="D34" s="227"/>
      <c r="E34" s="227"/>
      <c r="F34" s="227"/>
      <c r="G34" s="227"/>
      <c r="H34" s="227"/>
      <c r="I34" s="227"/>
      <c r="J34" s="227"/>
      <c r="K34" s="227"/>
      <c r="L34" s="227"/>
      <c r="M34" s="227"/>
      <c r="N34" s="227"/>
      <c r="O34" s="227"/>
      <c r="P34" s="227"/>
      <c r="Q34" s="227"/>
      <c r="R34" s="227"/>
      <c r="S34" s="227"/>
      <c r="T34" s="227"/>
      <c r="U34" s="227"/>
      <c r="V34" s="227"/>
      <c r="W34" s="227"/>
      <c r="X34" s="227"/>
      <c r="Y34" s="227"/>
      <c r="Z34" s="227"/>
    </row>
    <row r="35" spans="1:26" ht="8.25">
      <c r="A35" s="227"/>
      <c r="B35" s="227"/>
      <c r="C35" s="227"/>
      <c r="D35" s="227"/>
      <c r="E35" s="227"/>
      <c r="F35" s="227"/>
      <c r="G35" s="227"/>
      <c r="H35" s="227"/>
      <c r="I35" s="227"/>
      <c r="J35" s="227"/>
      <c r="K35" s="227"/>
      <c r="L35" s="227"/>
      <c r="M35" s="227"/>
      <c r="N35" s="227"/>
      <c r="O35" s="227"/>
      <c r="P35" s="227"/>
      <c r="Q35" s="227"/>
      <c r="R35" s="227"/>
      <c r="S35" s="227"/>
      <c r="T35" s="227"/>
      <c r="U35" s="227"/>
      <c r="V35" s="227"/>
      <c r="W35" s="227"/>
      <c r="X35" s="227"/>
      <c r="Y35" s="227"/>
      <c r="Z35" s="227"/>
    </row>
    <row r="36" spans="1:26" ht="8.25">
      <c r="A36" s="227"/>
      <c r="B36" s="579"/>
      <c r="C36" s="669"/>
      <c r="D36" s="669"/>
      <c r="E36" s="564"/>
      <c r="F36" s="564"/>
      <c r="G36" s="564"/>
      <c r="H36" s="564"/>
      <c r="I36" s="564"/>
      <c r="J36" s="564"/>
      <c r="K36" s="110"/>
      <c r="L36" s="564"/>
      <c r="M36" s="564"/>
      <c r="N36" s="564"/>
      <c r="O36" s="564"/>
      <c r="P36" s="564"/>
      <c r="Q36" s="564"/>
      <c r="R36" s="564"/>
      <c r="S36" s="564"/>
      <c r="T36" s="564"/>
      <c r="U36" s="564"/>
      <c r="V36" s="564"/>
      <c r="W36" s="564"/>
      <c r="X36" s="564"/>
      <c r="Y36" s="564"/>
      <c r="Z36" s="564"/>
    </row>
    <row r="37" spans="1:26" ht="8.25">
      <c r="A37" s="227"/>
      <c r="B37" s="227"/>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row>
    <row r="38" spans="1:26" ht="8.25">
      <c r="A38" s="227"/>
      <c r="B38" s="227"/>
      <c r="C38" s="227"/>
      <c r="D38" s="227"/>
      <c r="E38" s="227"/>
      <c r="F38" s="227"/>
      <c r="G38" s="227"/>
      <c r="H38" s="227"/>
      <c r="I38" s="227"/>
      <c r="J38" s="227"/>
      <c r="K38" s="227"/>
      <c r="L38" s="227"/>
      <c r="M38" s="227"/>
      <c r="N38" s="227"/>
      <c r="O38" s="227"/>
      <c r="P38" s="227"/>
      <c r="Q38" s="227"/>
      <c r="R38" s="227"/>
      <c r="S38" s="227"/>
      <c r="T38" s="227"/>
      <c r="U38" s="227"/>
      <c r="V38" s="227"/>
      <c r="W38" s="227"/>
      <c r="X38" s="227"/>
      <c r="Y38" s="227"/>
      <c r="Z38" s="227"/>
    </row>
    <row r="39" spans="1:26" ht="8.25">
      <c r="A39" s="227"/>
      <c r="B39" s="227"/>
      <c r="C39" s="227"/>
      <c r="D39" s="227"/>
      <c r="E39" s="227"/>
      <c r="F39" s="227"/>
      <c r="G39" s="227"/>
      <c r="H39" s="227"/>
      <c r="I39" s="227"/>
      <c r="J39" s="227"/>
      <c r="K39" s="227"/>
      <c r="L39" s="227"/>
      <c r="M39" s="227"/>
      <c r="N39" s="227"/>
      <c r="O39" s="227"/>
      <c r="P39" s="227"/>
      <c r="Q39" s="227"/>
      <c r="R39" s="227"/>
      <c r="S39" s="227"/>
      <c r="T39" s="227"/>
      <c r="U39" s="227"/>
      <c r="V39" s="227"/>
      <c r="W39" s="227"/>
      <c r="X39" s="227"/>
      <c r="Y39" s="227"/>
      <c r="Z39" s="227"/>
    </row>
    <row r="40" spans="1:26" ht="8.25">
      <c r="A40" s="227"/>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row>
    <row r="41" spans="1:26" ht="8.25">
      <c r="A41" s="227"/>
      <c r="B41" s="227"/>
      <c r="C41" s="227"/>
      <c r="D41" s="227"/>
      <c r="E41" s="227"/>
      <c r="F41" s="227"/>
      <c r="G41" s="227"/>
      <c r="H41" s="227"/>
      <c r="I41" s="227"/>
      <c r="J41" s="227"/>
      <c r="K41" s="227"/>
      <c r="L41" s="227"/>
      <c r="M41" s="227"/>
      <c r="N41" s="227"/>
      <c r="O41" s="227"/>
      <c r="P41" s="227"/>
      <c r="Q41" s="227"/>
      <c r="R41" s="227"/>
      <c r="S41" s="227"/>
      <c r="T41" s="227"/>
      <c r="U41" s="227"/>
      <c r="V41" s="227"/>
      <c r="W41" s="227"/>
      <c r="X41" s="227"/>
      <c r="Y41" s="227"/>
      <c r="Z41" s="227"/>
    </row>
    <row r="42" spans="1:26" ht="8.25">
      <c r="A42" s="227"/>
      <c r="B42" s="227"/>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row>
    <row r="43" spans="1:26" ht="8.25">
      <c r="A43" s="227"/>
      <c r="B43" s="227"/>
      <c r="C43" s="227"/>
      <c r="D43" s="227"/>
      <c r="E43" s="227"/>
      <c r="F43" s="227"/>
      <c r="G43" s="227"/>
      <c r="H43" s="227"/>
      <c r="I43" s="227"/>
      <c r="J43" s="227"/>
      <c r="K43" s="227"/>
      <c r="L43" s="227"/>
      <c r="M43" s="227"/>
      <c r="N43" s="227"/>
      <c r="O43" s="227"/>
      <c r="P43" s="227"/>
      <c r="Q43" s="227"/>
      <c r="R43" s="227"/>
      <c r="S43" s="227"/>
      <c r="T43" s="227"/>
      <c r="U43" s="227"/>
      <c r="V43" s="227"/>
      <c r="W43" s="227"/>
      <c r="X43" s="227"/>
      <c r="Y43" s="227"/>
      <c r="Z43" s="227"/>
    </row>
    <row r="44" spans="1:26" ht="8.25">
      <c r="A44" s="227"/>
      <c r="B44" s="227"/>
      <c r="C44" s="227"/>
      <c r="D44" s="227"/>
      <c r="E44" s="227"/>
      <c r="F44" s="227"/>
      <c r="G44" s="227"/>
      <c r="H44" s="227"/>
      <c r="I44" s="227"/>
      <c r="J44" s="227"/>
      <c r="K44" s="227"/>
      <c r="L44" s="227"/>
      <c r="M44" s="227"/>
      <c r="N44" s="227"/>
      <c r="O44" s="227"/>
      <c r="P44" s="227"/>
      <c r="Q44" s="227"/>
      <c r="R44" s="227"/>
      <c r="S44" s="227"/>
      <c r="T44" s="227"/>
      <c r="U44" s="227"/>
      <c r="V44" s="227"/>
      <c r="W44" s="227"/>
      <c r="X44" s="227"/>
      <c r="Y44" s="227"/>
      <c r="Z44" s="227"/>
    </row>
    <row r="45" spans="1:26" ht="8.25">
      <c r="A45" s="227"/>
      <c r="B45" s="227"/>
      <c r="C45" s="227"/>
      <c r="D45" s="227"/>
      <c r="E45" s="227"/>
      <c r="F45" s="227"/>
      <c r="G45" s="227"/>
      <c r="H45" s="227"/>
      <c r="I45" s="227"/>
      <c r="J45" s="227"/>
      <c r="K45" s="227"/>
      <c r="L45" s="227"/>
      <c r="M45" s="227"/>
      <c r="N45" s="227"/>
      <c r="O45" s="227"/>
      <c r="P45" s="227"/>
      <c r="Q45" s="227"/>
      <c r="R45" s="227"/>
      <c r="S45" s="227"/>
      <c r="T45" s="227"/>
      <c r="U45" s="227"/>
      <c r="V45" s="227"/>
      <c r="W45" s="227"/>
      <c r="X45" s="227"/>
      <c r="Y45" s="227"/>
      <c r="Z45" s="227"/>
    </row>
    <row r="46" spans="1:26" ht="8.25">
      <c r="A46" s="227"/>
      <c r="B46" s="227"/>
      <c r="C46" s="227"/>
      <c r="D46" s="227"/>
      <c r="E46" s="227"/>
      <c r="F46" s="227"/>
      <c r="G46" s="227"/>
      <c r="H46" s="227"/>
      <c r="I46" s="227"/>
      <c r="J46" s="227"/>
      <c r="K46" s="227"/>
      <c r="L46" s="227"/>
      <c r="M46" s="227"/>
      <c r="N46" s="227"/>
      <c r="O46" s="227"/>
      <c r="P46" s="227"/>
      <c r="Q46" s="227"/>
      <c r="R46" s="227"/>
      <c r="S46" s="227"/>
      <c r="T46" s="227"/>
      <c r="U46" s="227"/>
      <c r="V46" s="227"/>
      <c r="W46" s="227"/>
      <c r="X46" s="227"/>
      <c r="Y46" s="227"/>
      <c r="Z46" s="227"/>
    </row>
    <row r="47" spans="1:26" ht="8.25">
      <c r="A47" s="227"/>
      <c r="B47" s="227"/>
      <c r="C47" s="227"/>
      <c r="D47" s="227"/>
      <c r="E47" s="227"/>
      <c r="F47" s="227"/>
      <c r="G47" s="227"/>
      <c r="H47" s="227"/>
      <c r="I47" s="227"/>
      <c r="J47" s="227"/>
      <c r="K47" s="227"/>
      <c r="L47" s="227"/>
      <c r="M47" s="227"/>
      <c r="N47" s="227"/>
      <c r="O47" s="227"/>
      <c r="P47" s="227"/>
      <c r="Q47" s="227"/>
      <c r="R47" s="227"/>
      <c r="S47" s="227"/>
      <c r="T47" s="227"/>
      <c r="U47" s="227"/>
      <c r="V47" s="227"/>
      <c r="W47" s="227"/>
      <c r="X47" s="227"/>
      <c r="Y47" s="227"/>
      <c r="Z47" s="227"/>
    </row>
    <row r="48" spans="1:26" ht="8.25">
      <c r="A48" s="227"/>
      <c r="B48" s="227"/>
      <c r="C48" s="227"/>
      <c r="D48" s="227"/>
      <c r="E48" s="227"/>
      <c r="F48" s="227"/>
      <c r="G48" s="227"/>
      <c r="H48" s="227"/>
      <c r="I48" s="227"/>
      <c r="J48" s="227"/>
      <c r="K48" s="227"/>
      <c r="L48" s="227"/>
      <c r="M48" s="227"/>
      <c r="N48" s="227"/>
      <c r="O48" s="227"/>
      <c r="P48" s="227"/>
      <c r="Q48" s="227"/>
      <c r="R48" s="227"/>
      <c r="S48" s="227"/>
      <c r="T48" s="227"/>
      <c r="U48" s="227"/>
      <c r="V48" s="227"/>
      <c r="W48" s="227"/>
      <c r="X48" s="227"/>
      <c r="Y48" s="227"/>
      <c r="Z48" s="227"/>
    </row>
    <row r="49" spans="1:26" ht="8.25">
      <c r="A49" s="227"/>
      <c r="B49" s="227"/>
      <c r="C49" s="227"/>
      <c r="D49" s="227"/>
      <c r="E49" s="227"/>
      <c r="F49" s="227"/>
      <c r="G49" s="227"/>
      <c r="H49" s="227"/>
      <c r="I49" s="227"/>
      <c r="J49" s="227"/>
      <c r="K49" s="227"/>
      <c r="L49" s="227"/>
      <c r="M49" s="227"/>
      <c r="N49" s="227"/>
      <c r="O49" s="227"/>
      <c r="P49" s="227"/>
      <c r="Q49" s="227"/>
      <c r="R49" s="227"/>
      <c r="S49" s="227"/>
      <c r="T49" s="227"/>
      <c r="U49" s="227"/>
      <c r="V49" s="227"/>
      <c r="W49" s="227"/>
      <c r="X49" s="227"/>
      <c r="Y49" s="227"/>
      <c r="Z49" s="227"/>
    </row>
    <row r="50" spans="1:26" ht="8.25">
      <c r="A50" s="227"/>
      <c r="B50" s="227"/>
      <c r="C50" s="227"/>
      <c r="D50" s="227"/>
      <c r="E50" s="227"/>
      <c r="F50" s="227"/>
      <c r="G50" s="227"/>
      <c r="H50" s="227"/>
      <c r="I50" s="227"/>
      <c r="J50" s="227"/>
      <c r="K50" s="227"/>
      <c r="L50" s="227"/>
      <c r="M50" s="227"/>
      <c r="N50" s="227"/>
      <c r="O50" s="227"/>
      <c r="P50" s="227"/>
      <c r="Q50" s="227"/>
      <c r="R50" s="227"/>
      <c r="S50" s="227"/>
      <c r="T50" s="227"/>
      <c r="U50" s="227"/>
      <c r="V50" s="227"/>
      <c r="W50" s="227"/>
      <c r="X50" s="227"/>
      <c r="Y50" s="227"/>
      <c r="Z50" s="227"/>
    </row>
    <row r="51" spans="1:26" ht="8.25">
      <c r="A51" s="227"/>
      <c r="B51" s="227"/>
      <c r="C51" s="227"/>
      <c r="D51" s="227"/>
      <c r="E51" s="227"/>
      <c r="F51" s="227"/>
      <c r="G51" s="227"/>
      <c r="H51" s="227"/>
      <c r="I51" s="227"/>
      <c r="J51" s="227"/>
      <c r="K51" s="227"/>
      <c r="L51" s="227"/>
      <c r="M51" s="227"/>
      <c r="N51" s="227"/>
      <c r="O51" s="227"/>
      <c r="P51" s="227"/>
      <c r="Q51" s="227"/>
      <c r="R51" s="227"/>
      <c r="S51" s="227"/>
      <c r="T51" s="227"/>
      <c r="U51" s="227"/>
      <c r="V51" s="227"/>
      <c r="W51" s="227"/>
      <c r="X51" s="227"/>
      <c r="Y51" s="227"/>
      <c r="Z51" s="227"/>
    </row>
    <row r="52" spans="1:26" ht="8.25">
      <c r="A52" s="227"/>
      <c r="B52" s="227"/>
      <c r="C52" s="227"/>
      <c r="D52" s="227"/>
      <c r="E52" s="227"/>
      <c r="F52" s="227"/>
      <c r="G52" s="227"/>
      <c r="H52" s="227"/>
      <c r="I52" s="227"/>
      <c r="J52" s="227"/>
      <c r="K52" s="227"/>
      <c r="L52" s="227"/>
      <c r="M52" s="227"/>
      <c r="N52" s="227"/>
      <c r="O52" s="227"/>
      <c r="P52" s="227"/>
      <c r="Q52" s="227"/>
      <c r="R52" s="227"/>
      <c r="S52" s="227"/>
      <c r="T52" s="227"/>
      <c r="U52" s="227"/>
      <c r="V52" s="227"/>
      <c r="W52" s="227"/>
      <c r="X52" s="227"/>
      <c r="Y52" s="227"/>
      <c r="Z52" s="227"/>
    </row>
    <row r="53" spans="1:26" ht="8.25">
      <c r="A53" s="227"/>
      <c r="B53" s="227"/>
      <c r="C53" s="227"/>
      <c r="D53" s="227"/>
      <c r="E53" s="227"/>
      <c r="F53" s="227"/>
      <c r="G53" s="227"/>
      <c r="H53" s="227"/>
      <c r="I53" s="227"/>
      <c r="J53" s="227"/>
      <c r="K53" s="227"/>
      <c r="L53" s="227"/>
      <c r="M53" s="227"/>
      <c r="N53" s="227"/>
      <c r="O53" s="227"/>
      <c r="P53" s="227"/>
      <c r="Q53" s="227"/>
      <c r="R53" s="227"/>
      <c r="S53" s="227"/>
      <c r="T53" s="227"/>
      <c r="U53" s="227"/>
      <c r="V53" s="227"/>
      <c r="W53" s="227"/>
      <c r="X53" s="227"/>
      <c r="Y53" s="227"/>
      <c r="Z53" s="227"/>
    </row>
    <row r="54" spans="1:26" ht="8.25">
      <c r="A54" s="227"/>
      <c r="B54" s="227"/>
      <c r="C54" s="227"/>
      <c r="D54" s="227"/>
      <c r="E54" s="227"/>
      <c r="F54" s="227"/>
      <c r="G54" s="227"/>
      <c r="H54" s="227"/>
      <c r="I54" s="227"/>
      <c r="J54" s="227"/>
      <c r="K54" s="227"/>
      <c r="L54" s="227"/>
      <c r="M54" s="227"/>
      <c r="N54" s="227"/>
      <c r="O54" s="227"/>
      <c r="P54" s="227"/>
      <c r="Q54" s="227"/>
      <c r="R54" s="227"/>
      <c r="S54" s="227"/>
      <c r="T54" s="227"/>
      <c r="U54" s="227"/>
      <c r="V54" s="227"/>
      <c r="W54" s="227"/>
      <c r="X54" s="227"/>
      <c r="Y54" s="227"/>
      <c r="Z54" s="227"/>
    </row>
    <row r="55" spans="1:26" ht="8.25">
      <c r="A55" s="227"/>
      <c r="B55" s="227"/>
      <c r="C55" s="227"/>
      <c r="D55" s="227"/>
      <c r="E55" s="227"/>
      <c r="F55" s="227"/>
      <c r="G55" s="227"/>
      <c r="H55" s="227"/>
      <c r="I55" s="227"/>
      <c r="J55" s="227"/>
      <c r="K55" s="227"/>
      <c r="L55" s="227"/>
      <c r="M55" s="227"/>
      <c r="N55" s="227"/>
      <c r="O55" s="227"/>
      <c r="P55" s="227"/>
      <c r="Q55" s="227"/>
      <c r="R55" s="227"/>
      <c r="S55" s="227"/>
      <c r="T55" s="227"/>
      <c r="U55" s="227"/>
      <c r="V55" s="227"/>
      <c r="W55" s="227"/>
      <c r="X55" s="227"/>
      <c r="Y55" s="227"/>
      <c r="Z55" s="227"/>
    </row>
    <row r="56" spans="1:26" ht="8.25">
      <c r="A56" s="227"/>
      <c r="B56" s="227"/>
      <c r="C56" s="227"/>
      <c r="D56" s="227"/>
      <c r="E56" s="227"/>
      <c r="F56" s="227"/>
      <c r="G56" s="227"/>
      <c r="H56" s="227"/>
      <c r="I56" s="227"/>
      <c r="J56" s="227"/>
      <c r="K56" s="227"/>
      <c r="L56" s="227"/>
      <c r="M56" s="227"/>
      <c r="N56" s="227"/>
      <c r="O56" s="227"/>
      <c r="P56" s="227"/>
      <c r="Q56" s="227"/>
      <c r="R56" s="227"/>
      <c r="S56" s="227"/>
      <c r="T56" s="227"/>
      <c r="U56" s="227"/>
      <c r="V56" s="227"/>
      <c r="W56" s="227"/>
      <c r="X56" s="227"/>
      <c r="Y56" s="227"/>
      <c r="Z56" s="227"/>
    </row>
    <row r="57" spans="1:26" ht="8.25">
      <c r="A57" s="227"/>
      <c r="B57" s="227"/>
      <c r="C57" s="227"/>
      <c r="D57" s="227"/>
      <c r="E57" s="227"/>
      <c r="F57" s="227"/>
      <c r="G57" s="227"/>
      <c r="H57" s="227"/>
      <c r="I57" s="227"/>
      <c r="J57" s="227"/>
      <c r="K57" s="227"/>
      <c r="L57" s="227"/>
      <c r="M57" s="227"/>
      <c r="N57" s="227"/>
      <c r="O57" s="227"/>
      <c r="P57" s="227"/>
      <c r="Q57" s="227"/>
      <c r="R57" s="227"/>
      <c r="S57" s="227"/>
      <c r="T57" s="227"/>
      <c r="U57" s="227"/>
      <c r="V57" s="227"/>
      <c r="W57" s="227"/>
      <c r="X57" s="227"/>
      <c r="Y57" s="227"/>
      <c r="Z57" s="227"/>
    </row>
    <row r="58" spans="1:26" ht="8.25">
      <c r="A58" s="227"/>
      <c r="B58" s="227"/>
      <c r="C58" s="227"/>
      <c r="D58" s="227"/>
      <c r="E58" s="227"/>
      <c r="F58" s="227"/>
      <c r="G58" s="227"/>
      <c r="H58" s="227"/>
      <c r="I58" s="227"/>
      <c r="J58" s="227"/>
      <c r="K58" s="227"/>
      <c r="L58" s="227"/>
      <c r="M58" s="227"/>
      <c r="N58" s="227"/>
      <c r="O58" s="227"/>
      <c r="P58" s="227"/>
      <c r="Q58" s="227"/>
      <c r="R58" s="227"/>
      <c r="S58" s="227"/>
      <c r="T58" s="227"/>
      <c r="U58" s="227"/>
      <c r="V58" s="227"/>
      <c r="W58" s="227"/>
      <c r="X58" s="227"/>
      <c r="Y58" s="227"/>
      <c r="Z58" s="227"/>
    </row>
    <row r="59" spans="1:26" ht="8.25">
      <c r="A59" s="227"/>
      <c r="B59" s="227"/>
      <c r="C59" s="227"/>
      <c r="D59" s="227"/>
      <c r="E59" s="227"/>
      <c r="F59" s="227"/>
      <c r="G59" s="227"/>
      <c r="H59" s="227"/>
      <c r="I59" s="227"/>
      <c r="J59" s="227"/>
      <c r="K59" s="227"/>
      <c r="L59" s="227"/>
      <c r="M59" s="227"/>
      <c r="N59" s="227"/>
      <c r="O59" s="227"/>
      <c r="P59" s="227"/>
      <c r="Q59" s="227"/>
      <c r="R59" s="227"/>
      <c r="S59" s="227"/>
      <c r="T59" s="227"/>
      <c r="U59" s="227"/>
      <c r="V59" s="227"/>
      <c r="W59" s="227"/>
      <c r="X59" s="227"/>
      <c r="Y59" s="227"/>
      <c r="Z59" s="227"/>
    </row>
    <row r="60" spans="1:26" ht="8.25">
      <c r="A60" s="227"/>
      <c r="B60" s="227"/>
      <c r="C60" s="227"/>
      <c r="D60" s="227"/>
      <c r="E60" s="227"/>
      <c r="F60" s="227"/>
      <c r="G60" s="227"/>
      <c r="H60" s="227"/>
      <c r="I60" s="227"/>
      <c r="J60" s="227"/>
      <c r="K60" s="227"/>
      <c r="L60" s="227"/>
      <c r="M60" s="227"/>
      <c r="N60" s="227"/>
      <c r="O60" s="227"/>
      <c r="P60" s="227"/>
      <c r="Q60" s="227"/>
      <c r="R60" s="227"/>
      <c r="S60" s="227"/>
      <c r="T60" s="227"/>
      <c r="U60" s="227"/>
      <c r="V60" s="227"/>
      <c r="W60" s="227"/>
      <c r="X60" s="227"/>
      <c r="Y60" s="227"/>
      <c r="Z60" s="227"/>
    </row>
    <row r="61" spans="1:26" ht="8.25">
      <c r="A61" s="227"/>
      <c r="B61" s="227"/>
      <c r="C61" s="227"/>
      <c r="D61" s="227"/>
      <c r="E61" s="227"/>
      <c r="F61" s="227"/>
      <c r="G61" s="227"/>
      <c r="H61" s="227"/>
      <c r="I61" s="227"/>
      <c r="J61" s="227"/>
      <c r="K61" s="227"/>
      <c r="L61" s="227"/>
      <c r="M61" s="227"/>
      <c r="N61" s="227"/>
      <c r="O61" s="227"/>
      <c r="P61" s="227"/>
      <c r="Q61" s="227"/>
      <c r="R61" s="227"/>
      <c r="S61" s="227"/>
      <c r="T61" s="227"/>
      <c r="U61" s="227"/>
      <c r="V61" s="227"/>
      <c r="W61" s="227"/>
      <c r="X61" s="227"/>
      <c r="Y61" s="227"/>
      <c r="Z61" s="227"/>
    </row>
    <row r="62" spans="1:26" ht="8.25">
      <c r="A62" s="227"/>
      <c r="B62" s="227"/>
      <c r="C62" s="227"/>
      <c r="D62" s="227"/>
      <c r="E62" s="227"/>
      <c r="F62" s="227"/>
      <c r="G62" s="227"/>
      <c r="H62" s="227"/>
      <c r="I62" s="227"/>
      <c r="J62" s="227"/>
      <c r="K62" s="227"/>
      <c r="L62" s="227"/>
      <c r="M62" s="227"/>
      <c r="N62" s="227"/>
      <c r="O62" s="227"/>
      <c r="P62" s="227"/>
      <c r="Q62" s="227"/>
      <c r="R62" s="227"/>
      <c r="S62" s="227"/>
      <c r="T62" s="227"/>
      <c r="U62" s="227"/>
      <c r="V62" s="227"/>
      <c r="W62" s="227"/>
      <c r="X62" s="227"/>
      <c r="Y62" s="227"/>
      <c r="Z62" s="227"/>
    </row>
    <row r="63" spans="1:26" ht="8.25">
      <c r="A63" s="227"/>
      <c r="B63" s="227"/>
      <c r="C63" s="227"/>
      <c r="D63" s="227"/>
      <c r="E63" s="227"/>
      <c r="F63" s="227"/>
      <c r="G63" s="227"/>
      <c r="H63" s="227"/>
      <c r="I63" s="227"/>
      <c r="J63" s="227"/>
      <c r="K63" s="227"/>
      <c r="L63" s="227"/>
      <c r="M63" s="227"/>
      <c r="N63" s="227"/>
      <c r="O63" s="227"/>
      <c r="P63" s="227"/>
      <c r="Q63" s="227"/>
      <c r="R63" s="227"/>
      <c r="S63" s="227"/>
      <c r="T63" s="227"/>
      <c r="U63" s="227"/>
      <c r="V63" s="227"/>
      <c r="W63" s="227"/>
      <c r="X63" s="227"/>
      <c r="Y63" s="227"/>
      <c r="Z63" s="227"/>
    </row>
    <row r="64" spans="1:26" ht="8.25">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row>
    <row r="65" spans="1:26" ht="8.25">
      <c r="A65" s="227"/>
      <c r="B65" s="227"/>
      <c r="C65" s="227"/>
      <c r="D65" s="227"/>
      <c r="E65" s="227"/>
      <c r="F65" s="227"/>
      <c r="G65" s="227"/>
      <c r="H65" s="227"/>
      <c r="I65" s="227"/>
      <c r="J65" s="227"/>
      <c r="K65" s="227"/>
      <c r="L65" s="227"/>
      <c r="M65" s="227"/>
      <c r="N65" s="227"/>
      <c r="O65" s="227"/>
      <c r="P65" s="227"/>
      <c r="Q65" s="227"/>
      <c r="R65" s="227"/>
      <c r="S65" s="227"/>
      <c r="T65" s="227"/>
      <c r="U65" s="227"/>
      <c r="V65" s="227"/>
      <c r="W65" s="227"/>
      <c r="X65" s="227"/>
      <c r="Y65" s="227"/>
      <c r="Z65" s="227"/>
    </row>
    <row r="66" spans="1:26" ht="8.25">
      <c r="A66" s="227"/>
      <c r="B66" s="227"/>
      <c r="C66" s="227"/>
      <c r="D66" s="227"/>
      <c r="E66" s="227"/>
      <c r="F66" s="227"/>
      <c r="G66" s="227"/>
      <c r="H66" s="227"/>
      <c r="I66" s="227"/>
      <c r="J66" s="227"/>
      <c r="K66" s="227"/>
      <c r="L66" s="227"/>
      <c r="M66" s="227"/>
      <c r="N66" s="227"/>
      <c r="O66" s="227"/>
      <c r="P66" s="227"/>
      <c r="Q66" s="227"/>
      <c r="R66" s="227"/>
      <c r="S66" s="227"/>
      <c r="T66" s="227"/>
      <c r="U66" s="227"/>
      <c r="V66" s="227"/>
      <c r="W66" s="227"/>
      <c r="X66" s="227"/>
      <c r="Y66" s="227"/>
      <c r="Z66" s="227"/>
    </row>
    <row r="67" spans="1:26" ht="8.25">
      <c r="A67" s="227"/>
      <c r="B67" s="227"/>
      <c r="C67" s="227"/>
      <c r="D67" s="227"/>
      <c r="E67" s="227"/>
      <c r="F67" s="227"/>
      <c r="G67" s="227"/>
      <c r="H67" s="227"/>
      <c r="I67" s="227"/>
      <c r="J67" s="227"/>
      <c r="K67" s="227"/>
      <c r="L67" s="227"/>
      <c r="M67" s="227"/>
      <c r="N67" s="227"/>
      <c r="O67" s="227"/>
      <c r="P67" s="227"/>
      <c r="Q67" s="227"/>
      <c r="R67" s="227"/>
      <c r="S67" s="227"/>
      <c r="T67" s="227"/>
      <c r="U67" s="227"/>
      <c r="V67" s="227"/>
      <c r="W67" s="227"/>
      <c r="X67" s="227"/>
      <c r="Y67" s="227"/>
      <c r="Z67" s="227"/>
    </row>
    <row r="68" spans="1:26" ht="8.25">
      <c r="A68" s="227"/>
      <c r="B68" s="227"/>
      <c r="C68" s="227"/>
      <c r="D68" s="227"/>
      <c r="E68" s="227"/>
      <c r="F68" s="227"/>
      <c r="G68" s="227"/>
      <c r="H68" s="227"/>
      <c r="I68" s="227"/>
      <c r="J68" s="227"/>
      <c r="K68" s="227"/>
      <c r="L68" s="227"/>
      <c r="M68" s="227"/>
      <c r="N68" s="227"/>
      <c r="O68" s="227"/>
      <c r="P68" s="227"/>
      <c r="Q68" s="227"/>
      <c r="R68" s="227"/>
      <c r="S68" s="227"/>
      <c r="T68" s="227"/>
      <c r="U68" s="227"/>
      <c r="V68" s="227"/>
      <c r="W68" s="227"/>
      <c r="X68" s="227"/>
      <c r="Y68" s="227"/>
      <c r="Z68" s="227"/>
    </row>
    <row r="69" spans="1:26" ht="8.25">
      <c r="A69" s="227"/>
      <c r="B69" s="227"/>
      <c r="C69" s="227"/>
      <c r="D69" s="227"/>
      <c r="E69" s="227"/>
      <c r="F69" s="227"/>
      <c r="G69" s="227"/>
      <c r="H69" s="227"/>
      <c r="I69" s="227"/>
      <c r="J69" s="227"/>
      <c r="K69" s="227"/>
      <c r="L69" s="227"/>
      <c r="M69" s="227"/>
      <c r="N69" s="227"/>
      <c r="O69" s="227"/>
      <c r="P69" s="227"/>
      <c r="Q69" s="227"/>
      <c r="R69" s="227"/>
      <c r="S69" s="227"/>
      <c r="T69" s="227"/>
      <c r="U69" s="227"/>
      <c r="V69" s="227"/>
      <c r="W69" s="227"/>
      <c r="X69" s="227"/>
      <c r="Y69" s="227"/>
      <c r="Z69" s="227"/>
    </row>
    <row r="70" spans="1:26" ht="8.25">
      <c r="A70" s="227"/>
      <c r="B70" s="227"/>
      <c r="C70" s="227"/>
      <c r="D70" s="227"/>
      <c r="E70" s="227"/>
      <c r="F70" s="227"/>
      <c r="G70" s="227"/>
      <c r="H70" s="227"/>
      <c r="I70" s="227"/>
      <c r="J70" s="227"/>
      <c r="K70" s="227"/>
      <c r="L70" s="227"/>
      <c r="M70" s="227"/>
      <c r="N70" s="227"/>
      <c r="O70" s="227"/>
      <c r="P70" s="227"/>
      <c r="Q70" s="227"/>
      <c r="R70" s="227"/>
      <c r="S70" s="227"/>
      <c r="T70" s="227"/>
      <c r="U70" s="227"/>
      <c r="V70" s="227"/>
      <c r="W70" s="227"/>
      <c r="X70" s="227"/>
      <c r="Y70" s="227"/>
      <c r="Z70" s="227"/>
    </row>
    <row r="71" spans="1:26" ht="8.25">
      <c r="A71" s="227"/>
      <c r="B71" s="227"/>
      <c r="C71" s="227"/>
      <c r="D71" s="227"/>
      <c r="E71" s="227"/>
      <c r="F71" s="227"/>
      <c r="G71" s="227"/>
      <c r="H71" s="227"/>
      <c r="I71" s="227"/>
      <c r="J71" s="227"/>
      <c r="K71" s="227"/>
      <c r="L71" s="227"/>
      <c r="M71" s="227"/>
      <c r="N71" s="227"/>
      <c r="O71" s="227"/>
      <c r="P71" s="227"/>
      <c r="Q71" s="227"/>
      <c r="R71" s="227"/>
      <c r="S71" s="227"/>
      <c r="T71" s="227"/>
      <c r="U71" s="227"/>
      <c r="V71" s="227"/>
      <c r="W71" s="227"/>
      <c r="X71" s="227"/>
      <c r="Y71" s="227"/>
      <c r="Z71" s="227"/>
    </row>
    <row r="72" spans="1:26" ht="8.25">
      <c r="A72" s="227"/>
      <c r="B72" s="227"/>
      <c r="C72" s="227"/>
      <c r="D72" s="227"/>
      <c r="E72" s="227"/>
      <c r="F72" s="227"/>
      <c r="G72" s="227"/>
      <c r="H72" s="227"/>
      <c r="I72" s="227"/>
      <c r="J72" s="227"/>
      <c r="K72" s="227"/>
      <c r="L72" s="227"/>
      <c r="M72" s="227"/>
      <c r="N72" s="227"/>
      <c r="O72" s="227"/>
      <c r="P72" s="227"/>
      <c r="Q72" s="227"/>
      <c r="R72" s="227"/>
      <c r="S72" s="227"/>
      <c r="T72" s="227"/>
      <c r="U72" s="227"/>
      <c r="V72" s="227"/>
      <c r="W72" s="227"/>
      <c r="X72" s="227"/>
      <c r="Y72" s="227"/>
      <c r="Z72" s="227"/>
    </row>
    <row r="73" spans="1:26" ht="8.25">
      <c r="A73" s="227"/>
      <c r="B73" s="227"/>
      <c r="C73" s="227"/>
      <c r="D73" s="227"/>
      <c r="E73" s="227"/>
      <c r="F73" s="227"/>
      <c r="G73" s="227"/>
      <c r="H73" s="227"/>
      <c r="I73" s="227"/>
      <c r="J73" s="227"/>
      <c r="K73" s="227"/>
      <c r="L73" s="227"/>
      <c r="M73" s="227"/>
      <c r="N73" s="227"/>
      <c r="O73" s="227"/>
      <c r="P73" s="227"/>
      <c r="Q73" s="227"/>
      <c r="R73" s="227"/>
      <c r="S73" s="227"/>
      <c r="T73" s="227"/>
      <c r="U73" s="227"/>
      <c r="V73" s="227"/>
      <c r="W73" s="227"/>
      <c r="X73" s="227"/>
      <c r="Y73" s="227"/>
      <c r="Z73" s="227"/>
    </row>
    <row r="74" spans="1:26" ht="8.25">
      <c r="A74" s="227"/>
      <c r="B74" s="227"/>
      <c r="C74" s="227"/>
      <c r="D74" s="227"/>
      <c r="E74" s="227"/>
      <c r="F74" s="227"/>
      <c r="G74" s="227"/>
      <c r="H74" s="227"/>
      <c r="I74" s="227"/>
      <c r="J74" s="227"/>
      <c r="K74" s="227"/>
      <c r="L74" s="227"/>
      <c r="M74" s="227"/>
      <c r="N74" s="227"/>
      <c r="O74" s="227"/>
      <c r="P74" s="227"/>
      <c r="Q74" s="227"/>
      <c r="R74" s="227"/>
      <c r="S74" s="227"/>
      <c r="T74" s="227"/>
      <c r="U74" s="227"/>
      <c r="V74" s="227"/>
      <c r="W74" s="227"/>
      <c r="X74" s="227"/>
      <c r="Y74" s="227"/>
      <c r="Z74" s="227"/>
    </row>
    <row r="75" spans="1:26" ht="8.25">
      <c r="A75" s="227"/>
      <c r="B75" s="227"/>
      <c r="C75" s="227"/>
      <c r="D75" s="227"/>
      <c r="E75" s="227"/>
      <c r="F75" s="227"/>
      <c r="G75" s="227"/>
      <c r="H75" s="227"/>
      <c r="I75" s="227"/>
      <c r="J75" s="227"/>
      <c r="K75" s="227"/>
      <c r="L75" s="227"/>
      <c r="M75" s="227"/>
      <c r="N75" s="227"/>
      <c r="O75" s="227"/>
      <c r="P75" s="227"/>
      <c r="Q75" s="227"/>
      <c r="R75" s="227"/>
      <c r="S75" s="227"/>
      <c r="T75" s="227"/>
      <c r="U75" s="227"/>
      <c r="V75" s="227"/>
      <c r="W75" s="227"/>
      <c r="X75" s="227"/>
      <c r="Y75" s="227"/>
      <c r="Z75" s="227"/>
    </row>
    <row r="76" spans="1:26" ht="12.75">
      <c r="A76" s="227"/>
      <c r="B76" s="420"/>
      <c r="C76" s="227"/>
      <c r="D76" s="227"/>
      <c r="E76" s="227"/>
      <c r="F76" s="227"/>
      <c r="G76" s="227"/>
      <c r="H76" s="227"/>
      <c r="I76" s="227"/>
      <c r="J76" s="227"/>
      <c r="K76" s="227"/>
      <c r="L76" s="227"/>
      <c r="M76" s="227"/>
      <c r="N76" s="227"/>
      <c r="O76" s="227"/>
      <c r="P76" s="227"/>
      <c r="Q76" s="227"/>
      <c r="R76" s="227"/>
      <c r="S76" s="227"/>
      <c r="T76" s="227"/>
      <c r="U76" s="227"/>
      <c r="V76" s="227"/>
      <c r="W76" s="227"/>
      <c r="X76" s="227"/>
      <c r="Y76" s="227"/>
      <c r="Z76" s="227"/>
    </row>
    <row r="77" spans="1:26" ht="8.25">
      <c r="A77" s="227"/>
      <c r="B77" s="227"/>
      <c r="C77" s="227"/>
      <c r="D77" s="227"/>
      <c r="E77" s="227"/>
      <c r="F77" s="227"/>
      <c r="G77" s="227"/>
      <c r="H77" s="227"/>
      <c r="I77" s="227"/>
      <c r="J77" s="227"/>
      <c r="K77" s="227"/>
      <c r="L77" s="227"/>
      <c r="M77" s="227"/>
      <c r="N77" s="227"/>
      <c r="O77" s="227"/>
      <c r="P77" s="227"/>
      <c r="Q77" s="227"/>
      <c r="R77" s="227"/>
      <c r="S77" s="227"/>
      <c r="T77" s="227"/>
      <c r="U77" s="227"/>
      <c r="V77" s="227"/>
      <c r="W77" s="227"/>
      <c r="X77" s="227"/>
      <c r="Y77" s="227"/>
      <c r="Z77" s="227"/>
    </row>
    <row r="78" spans="1:26" ht="8.25">
      <c r="A78" s="227"/>
      <c r="B78" s="227"/>
      <c r="C78" s="227"/>
      <c r="D78" s="227"/>
      <c r="E78" s="227"/>
      <c r="F78" s="227"/>
      <c r="G78" s="227"/>
      <c r="H78" s="227"/>
      <c r="I78" s="227"/>
      <c r="J78" s="227"/>
      <c r="K78" s="227"/>
      <c r="L78" s="227"/>
      <c r="M78" s="227"/>
      <c r="N78" s="227"/>
      <c r="O78" s="227"/>
      <c r="P78" s="227"/>
      <c r="Q78" s="227"/>
      <c r="R78" s="227"/>
      <c r="S78" s="227"/>
      <c r="T78" s="227"/>
      <c r="U78" s="227"/>
      <c r="V78" s="227"/>
      <c r="W78" s="227"/>
      <c r="X78" s="227"/>
      <c r="Y78" s="227"/>
      <c r="Z78" s="227"/>
    </row>
  </sheetData>
  <sheetProtection/>
  <mergeCells count="11">
    <mergeCell ref="O6:P6"/>
    <mergeCell ref="U6:V6"/>
    <mergeCell ref="W6:X6"/>
    <mergeCell ref="Q6:R6"/>
    <mergeCell ref="S6:T6"/>
    <mergeCell ref="M6:N6"/>
    <mergeCell ref="B6:D6"/>
    <mergeCell ref="C36:D36"/>
    <mergeCell ref="G6:H6"/>
    <mergeCell ref="I6:J6"/>
    <mergeCell ref="K6:L6"/>
  </mergeCells>
  <printOptions/>
  <pageMargins left="0.7" right="0.7" top="0.75" bottom="0.75" header="0.3" footer="0.3"/>
  <pageSetup fitToHeight="1" fitToWidth="1" horizontalDpi="600" verticalDpi="600" orientation="landscape" scale="91" r:id="rId1"/>
  <headerFooter alignWithMargins="0">
    <oddFooter>&amp;L&amp;8Revised                                6/1/2012
Approved by Tech. Comm.&amp;CPage 1 of 1</oddFooter>
  </headerFooter>
  <rowBreaks count="1" manualBreakCount="1">
    <brk id="81" max="255" man="1"/>
  </rowBreaks>
  <colBreaks count="1" manualBreakCount="1">
    <brk id="8"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H49"/>
  <sheetViews>
    <sheetView view="pageLayout" zoomScale="0" zoomScaleNormal="85" zoomScaleSheetLayoutView="100" zoomScalePageLayoutView="0" workbookViewId="0" topLeftCell="A1">
      <selection activeCell="G28" sqref="G28"/>
      <selection activeCell="A1" sqref="A1"/>
    </sheetView>
  </sheetViews>
  <sheetFormatPr defaultColWidth="9.140625" defaultRowHeight="12.75"/>
  <cols>
    <col min="1" max="1" width="28.140625" style="0" customWidth="1"/>
    <col min="2" max="2" width="10.00390625" style="0" customWidth="1"/>
    <col min="3" max="3" width="9.28125" style="1" customWidth="1"/>
    <col min="4" max="4" width="10.57421875" style="1" customWidth="1"/>
    <col min="5" max="5" width="9.8515625" style="1" customWidth="1"/>
    <col min="6" max="6" width="10.421875" style="1" bestFit="1" customWidth="1"/>
    <col min="7" max="7" width="9.57421875" style="1" customWidth="1"/>
    <col min="8" max="8" width="10.57421875" style="1" customWidth="1"/>
  </cols>
  <sheetData>
    <row r="1" ht="21.75">
      <c r="A1" s="8" t="s">
        <v>99</v>
      </c>
    </row>
    <row r="2" ht="21.75">
      <c r="A2" s="8" t="s">
        <v>1</v>
      </c>
    </row>
    <row r="3" ht="21.75">
      <c r="A3" s="8" t="s">
        <v>2</v>
      </c>
    </row>
    <row r="4" ht="21.75">
      <c r="A4" s="8" t="s">
        <v>100</v>
      </c>
    </row>
    <row r="5" ht="21.75">
      <c r="A5" s="8"/>
    </row>
    <row r="6" spans="1:2" ht="12.75">
      <c r="A6" s="267" t="s">
        <v>101</v>
      </c>
      <c r="B6" s="267"/>
    </row>
    <row r="7" spans="1:8" s="1" customFormat="1" ht="25.5">
      <c r="A7" s="341" t="s">
        <v>102</v>
      </c>
      <c r="B7" s="559" t="s">
        <v>103</v>
      </c>
      <c r="C7" s="559" t="s">
        <v>505</v>
      </c>
      <c r="D7" s="559" t="s">
        <v>104</v>
      </c>
      <c r="E7" s="559" t="s">
        <v>105</v>
      </c>
      <c r="F7" s="272" t="s">
        <v>106</v>
      </c>
      <c r="G7" s="272" t="s">
        <v>107</v>
      </c>
      <c r="H7" s="272" t="s">
        <v>108</v>
      </c>
    </row>
    <row r="8" spans="1:7" ht="12.75">
      <c r="A8" s="267"/>
      <c r="B8" s="267"/>
      <c r="D8" s="14" t="s">
        <v>24</v>
      </c>
      <c r="E8" s="14" t="s">
        <v>24</v>
      </c>
      <c r="F8" s="14" t="s">
        <v>24</v>
      </c>
      <c r="G8" s="14" t="s">
        <v>109</v>
      </c>
    </row>
    <row r="9" spans="1:8" ht="12.75">
      <c r="A9" s="263" t="s">
        <v>8</v>
      </c>
      <c r="B9" s="220">
        <f>'Exhibit 1-New'!O21</f>
        <v>1691</v>
      </c>
      <c r="C9" s="253">
        <f>B9/$B$23</f>
        <v>0.059481515354039886</v>
      </c>
      <c r="D9" s="236">
        <f>C9*$B$27</f>
        <v>0.42278936117093213</v>
      </c>
      <c r="E9" s="236">
        <f aca="true" t="shared" si="0" ref="E9:E15">D9*$B$28</f>
        <v>0</v>
      </c>
      <c r="F9" s="236">
        <f>E9+D9</f>
        <v>0.42278936117093213</v>
      </c>
      <c r="G9" s="236">
        <f>F9*1000000/(7.48*24*60*60)</f>
        <v>0.6541972438399499</v>
      </c>
      <c r="H9" s="253">
        <f>G9/$G$23</f>
        <v>0.05948151535403987</v>
      </c>
    </row>
    <row r="10" spans="1:8" ht="12.75">
      <c r="A10" s="263" t="s">
        <v>110</v>
      </c>
      <c r="B10" s="220">
        <f>'Exhibit 1-New'!O25</f>
        <v>2997</v>
      </c>
      <c r="C10" s="253">
        <f aca="true" t="shared" si="1" ref="C10:C19">B10/$B$23</f>
        <v>0.1054205212986739</v>
      </c>
      <c r="D10" s="236">
        <f aca="true" t="shared" si="2" ref="D10:D19">C10*$B$27</f>
        <v>0.7493197607506114</v>
      </c>
      <c r="E10" s="236">
        <f t="shared" si="0"/>
        <v>0</v>
      </c>
      <c r="F10" s="236">
        <f aca="true" t="shared" si="3" ref="F10:F22">E10+D10</f>
        <v>0.7493197607506114</v>
      </c>
      <c r="G10" s="236">
        <f aca="true" t="shared" si="4" ref="G10:G22">F10*1000000/(7.48*24*60*60)</f>
        <v>1.1594495208683206</v>
      </c>
      <c r="H10" s="253">
        <f aca="true" t="shared" si="5" ref="H10:H22">G10/$G$23</f>
        <v>0.10542052129867388</v>
      </c>
    </row>
    <row r="11" spans="1:8" ht="12.75">
      <c r="A11" s="263" t="s">
        <v>449</v>
      </c>
      <c r="B11" s="220">
        <f>'Exhibit 1-New'!O16</f>
        <v>3120</v>
      </c>
      <c r="C11" s="253">
        <f>B11/$B$23</f>
        <v>0.1097470892398607</v>
      </c>
      <c r="D11" s="236">
        <f>C11*$B$27</f>
        <v>0.7800726238044402</v>
      </c>
      <c r="E11" s="236">
        <f t="shared" si="0"/>
        <v>0</v>
      </c>
      <c r="F11" s="236">
        <f>E11+D11</f>
        <v>0.7800726238044402</v>
      </c>
      <c r="G11" s="236">
        <f>F11*1000000/(7.48*24*60*60)</f>
        <v>1.207034536239293</v>
      </c>
      <c r="H11" s="253">
        <f>G11/$G$23</f>
        <v>0.1097470892398607</v>
      </c>
    </row>
    <row r="12" spans="1:8" ht="12.75">
      <c r="A12" s="263" t="s">
        <v>450</v>
      </c>
      <c r="B12" s="220">
        <f>'Exhibit 1-New'!O15</f>
        <v>412</v>
      </c>
      <c r="C12" s="253">
        <f>B12/$B$23</f>
        <v>0.014492243835520068</v>
      </c>
      <c r="D12" s="236">
        <f>C12*$B$27</f>
        <v>0.10300959006648377</v>
      </c>
      <c r="E12" s="236">
        <f t="shared" si="0"/>
        <v>0</v>
      </c>
      <c r="F12" s="236">
        <f>E12+D12</f>
        <v>0.10300959006648377</v>
      </c>
      <c r="G12" s="236">
        <f>F12*1000000/(7.48*24*60*60)</f>
        <v>0.15939045799057328</v>
      </c>
      <c r="H12" s="253">
        <f>G12/$G$23</f>
        <v>0.014492243835520066</v>
      </c>
    </row>
    <row r="13" spans="1:8" ht="12.75">
      <c r="A13" s="263" t="s">
        <v>43</v>
      </c>
      <c r="B13" s="220">
        <f>'Exhibit 1-New'!O24</f>
        <v>516</v>
      </c>
      <c r="C13" s="253">
        <f t="shared" si="1"/>
        <v>0.018150480143515425</v>
      </c>
      <c r="D13" s="236">
        <f t="shared" si="2"/>
        <v>0.1290120108599651</v>
      </c>
      <c r="E13" s="236">
        <f t="shared" si="0"/>
        <v>0</v>
      </c>
      <c r="F13" s="236">
        <f t="shared" si="3"/>
        <v>0.1290120108599651</v>
      </c>
      <c r="G13" s="236">
        <f t="shared" si="4"/>
        <v>0.19962494253188304</v>
      </c>
      <c r="H13" s="253">
        <f t="shared" si="5"/>
        <v>0.018150480143515422</v>
      </c>
    </row>
    <row r="14" spans="1:8" ht="12.75">
      <c r="A14" s="263" t="s">
        <v>111</v>
      </c>
      <c r="B14" s="220">
        <f>'Exhibit 1-New'!O27</f>
        <v>1240</v>
      </c>
      <c r="C14" s="253">
        <f t="shared" si="1"/>
        <v>0.043617432903021565</v>
      </c>
      <c r="D14" s="236">
        <f t="shared" si="2"/>
        <v>0.3100288633068929</v>
      </c>
      <c r="E14" s="236">
        <f t="shared" si="0"/>
        <v>0</v>
      </c>
      <c r="F14" s="236">
        <f t="shared" si="3"/>
        <v>0.3100288633068929</v>
      </c>
      <c r="G14" s="236">
        <f t="shared" si="4"/>
        <v>0.47971885414638554</v>
      </c>
      <c r="H14" s="253">
        <f t="shared" si="5"/>
        <v>0.04361743290302155</v>
      </c>
    </row>
    <row r="15" spans="1:8" ht="12.75">
      <c r="A15" s="263" t="s">
        <v>112</v>
      </c>
      <c r="B15" s="513">
        <v>1371</v>
      </c>
      <c r="C15" s="253">
        <f t="shared" si="1"/>
        <v>0.0482254036371311</v>
      </c>
      <c r="D15" s="236">
        <f t="shared" si="2"/>
        <v>0.342781912575605</v>
      </c>
      <c r="E15" s="236">
        <f t="shared" si="0"/>
        <v>0</v>
      </c>
      <c r="F15" s="236">
        <f t="shared" si="3"/>
        <v>0.342781912575605</v>
      </c>
      <c r="G15" s="236">
        <f t="shared" si="4"/>
        <v>0.5303988298666892</v>
      </c>
      <c r="H15" s="253">
        <f t="shared" si="5"/>
        <v>0.04822540363713109</v>
      </c>
    </row>
    <row r="16" spans="1:8" ht="12.75">
      <c r="A16" s="514" t="s">
        <v>113</v>
      </c>
      <c r="B16" s="277">
        <f>SUM(B9:B15)</f>
        <v>11347</v>
      </c>
      <c r="C16" s="253"/>
      <c r="E16" s="236"/>
      <c r="F16" s="236"/>
      <c r="G16" s="236"/>
      <c r="H16" s="253"/>
    </row>
    <row r="17" spans="1:8" ht="12.75">
      <c r="A17" s="263" t="s">
        <v>114</v>
      </c>
      <c r="B17" s="220">
        <f>'Exhibit 1-New'!O45</f>
        <v>868</v>
      </c>
      <c r="C17" s="253">
        <f t="shared" si="1"/>
        <v>0.030532203032115093</v>
      </c>
      <c r="D17" s="236">
        <f t="shared" si="2"/>
        <v>0.21702020431482502</v>
      </c>
      <c r="E17" s="236">
        <f>D17*$B$28</f>
        <v>0</v>
      </c>
      <c r="F17" s="236">
        <f t="shared" si="3"/>
        <v>0.21702020431482502</v>
      </c>
      <c r="G17" s="236">
        <f t="shared" si="4"/>
        <v>0.3358031979024699</v>
      </c>
      <c r="H17" s="253">
        <f t="shared" si="5"/>
        <v>0.030532203032115086</v>
      </c>
    </row>
    <row r="18" spans="1:8" ht="12.75">
      <c r="A18" s="263" t="s">
        <v>68</v>
      </c>
      <c r="B18" s="220">
        <f>'Exhibit 1-New'!O43</f>
        <v>3497</v>
      </c>
      <c r="C18" s="253">
        <f t="shared" si="1"/>
        <v>0.12300819585634387</v>
      </c>
      <c r="D18" s="236">
        <f t="shared" si="2"/>
        <v>0.87433139918081</v>
      </c>
      <c r="E18" s="236">
        <f>D18*$B$28</f>
        <v>0</v>
      </c>
      <c r="F18" s="236">
        <f t="shared" si="3"/>
        <v>0.87433139918081</v>
      </c>
      <c r="G18" s="236">
        <f t="shared" si="4"/>
        <v>1.3528845427015406</v>
      </c>
      <c r="H18" s="253">
        <f t="shared" si="5"/>
        <v>0.12300819585634386</v>
      </c>
    </row>
    <row r="19" spans="1:8" ht="12.75">
      <c r="A19" s="263" t="s">
        <v>115</v>
      </c>
      <c r="B19" s="513">
        <v>12613</v>
      </c>
      <c r="C19" s="253">
        <f t="shared" si="1"/>
        <v>0.44366667839178303</v>
      </c>
      <c r="D19" s="236">
        <f t="shared" si="2"/>
        <v>3.1535435910401937</v>
      </c>
      <c r="E19" s="236">
        <f>D19*$B$28</f>
        <v>0</v>
      </c>
      <c r="F19" s="236">
        <f t="shared" si="3"/>
        <v>3.1535435910401937</v>
      </c>
      <c r="G19" s="236">
        <f t="shared" si="4"/>
        <v>4.879591860764807</v>
      </c>
      <c r="H19" s="253">
        <f t="shared" si="5"/>
        <v>0.443666678391783</v>
      </c>
    </row>
    <row r="20" spans="1:8" ht="12.75" customHeight="1">
      <c r="A20" s="514" t="s">
        <v>116</v>
      </c>
      <c r="B20" s="540">
        <f>SUM(B17:B19)</f>
        <v>16978</v>
      </c>
      <c r="D20" s="15"/>
      <c r="E20" s="236"/>
      <c r="F20" s="236"/>
      <c r="G20" s="236"/>
      <c r="H20" s="253"/>
    </row>
    <row r="21" spans="1:8" ht="12.75" customHeight="1">
      <c r="A21" s="515" t="s">
        <v>117</v>
      </c>
      <c r="B21" s="277">
        <f>B20+B16</f>
        <v>28325</v>
      </c>
      <c r="D21" s="15"/>
      <c r="E21" s="236"/>
      <c r="F21" s="236"/>
      <c r="G21" s="236"/>
      <c r="H21" s="253"/>
    </row>
    <row r="22" spans="1:8" ht="12.75">
      <c r="A22" s="263" t="s">
        <v>118</v>
      </c>
      <c r="B22" s="458">
        <v>104</v>
      </c>
      <c r="C22" s="541">
        <f>B22/$B$23</f>
        <v>0.0036582363079953567</v>
      </c>
      <c r="D22" s="516">
        <f>C22*$B$27</f>
        <v>0.026002420793481338</v>
      </c>
      <c r="E22" s="516">
        <f>D22*$B$28</f>
        <v>0</v>
      </c>
      <c r="F22" s="516">
        <f t="shared" si="3"/>
        <v>0.026002420793481338</v>
      </c>
      <c r="G22" s="516">
        <f t="shared" si="4"/>
        <v>0.040234484541309755</v>
      </c>
      <c r="H22" s="541">
        <f t="shared" si="5"/>
        <v>0.003658236307995356</v>
      </c>
    </row>
    <row r="23" spans="1:8" ht="12.75">
      <c r="A23" s="276" t="s">
        <v>119</v>
      </c>
      <c r="B23" s="220">
        <f>SUM(B21:B22)</f>
        <v>28429</v>
      </c>
      <c r="C23" s="253">
        <f aca="true" t="shared" si="6" ref="C23:H23">SUM(C9:C22)</f>
        <v>1</v>
      </c>
      <c r="D23" s="236">
        <f t="shared" si="6"/>
        <v>7.10791173786424</v>
      </c>
      <c r="E23" s="236">
        <f t="shared" si="6"/>
        <v>0</v>
      </c>
      <c r="F23" s="236">
        <f t="shared" si="6"/>
        <v>7.10791173786424</v>
      </c>
      <c r="G23" s="236">
        <f t="shared" si="6"/>
        <v>10.998328471393224</v>
      </c>
      <c r="H23" s="542">
        <f t="shared" si="6"/>
        <v>0.9999999999999998</v>
      </c>
    </row>
    <row r="24" spans="1:8" ht="12.75">
      <c r="A24" s="276"/>
      <c r="B24" s="220"/>
      <c r="C24" s="253"/>
      <c r="D24" s="236"/>
      <c r="E24" s="236"/>
      <c r="F24" s="236"/>
      <c r="G24" s="236"/>
      <c r="H24" s="542"/>
    </row>
    <row r="25" spans="1:2" ht="12.75">
      <c r="A25" s="263" t="s">
        <v>120</v>
      </c>
      <c r="B25" s="239">
        <f>B23*100/1000000</f>
        <v>2.8429</v>
      </c>
    </row>
    <row r="26" spans="1:2" ht="12.75">
      <c r="A26" s="263" t="s">
        <v>121</v>
      </c>
      <c r="B26" s="279">
        <f>(18+POWER(B23/1000,0.5))/(4+POWER(B23/1000,0.5))</f>
        <v>2.5002327686039747</v>
      </c>
    </row>
    <row r="27" spans="1:7" ht="12.75">
      <c r="A27" s="263" t="s">
        <v>122</v>
      </c>
      <c r="B27" s="239">
        <f>B26*B25</f>
        <v>7.1079117378642405</v>
      </c>
      <c r="C27" s="236">
        <f>B27*1000000/(7.48*24*60*60)</f>
        <v>10.998328471393222</v>
      </c>
      <c r="D27" s="1" t="s">
        <v>109</v>
      </c>
      <c r="F27" s="14"/>
      <c r="G27" s="14"/>
    </row>
    <row r="28" spans="1:5" ht="12.75">
      <c r="A28" s="263" t="s">
        <v>105</v>
      </c>
      <c r="B28" s="266">
        <v>0</v>
      </c>
      <c r="C28" s="236">
        <f>B28*1000000/(7.48*24*60*60)</f>
        <v>0</v>
      </c>
      <c r="D28" s="1" t="s">
        <v>109</v>
      </c>
      <c r="E28" s="543"/>
    </row>
    <row r="29" spans="1:4" ht="12.75">
      <c r="A29" s="263" t="s">
        <v>123</v>
      </c>
      <c r="B29" s="239">
        <f>B28+B27</f>
        <v>7.1079117378642405</v>
      </c>
      <c r="C29" s="236">
        <f>B29*1000000/(7.48*24*60*60)</f>
        <v>10.998328471393222</v>
      </c>
      <c r="D29" s="1" t="s">
        <v>109</v>
      </c>
    </row>
    <row r="30" spans="1:4" ht="15">
      <c r="A30" s="263"/>
      <c r="B30" s="12"/>
      <c r="D30" s="14"/>
    </row>
    <row r="31" spans="1:8" s="245" customFormat="1" ht="25.5">
      <c r="A31" s="341" t="s">
        <v>124</v>
      </c>
      <c r="B31" s="272" t="s">
        <v>125</v>
      </c>
      <c r="C31" s="272" t="s">
        <v>505</v>
      </c>
      <c r="D31" s="272" t="s">
        <v>104</v>
      </c>
      <c r="E31" s="272" t="s">
        <v>105</v>
      </c>
      <c r="F31" s="245" t="s">
        <v>106</v>
      </c>
      <c r="G31" s="245" t="s">
        <v>107</v>
      </c>
      <c r="H31" s="272" t="s">
        <v>108</v>
      </c>
    </row>
    <row r="32" spans="1:7" ht="12.75">
      <c r="A32" s="267"/>
      <c r="B32" s="267"/>
      <c r="D32" s="14" t="s">
        <v>24</v>
      </c>
      <c r="E32" s="14" t="s">
        <v>24</v>
      </c>
      <c r="F32" s="14" t="s">
        <v>24</v>
      </c>
      <c r="G32" s="14" t="s">
        <v>109</v>
      </c>
    </row>
    <row r="33" spans="1:8" ht="12.75">
      <c r="A33" s="263" t="s">
        <v>126</v>
      </c>
      <c r="B33" s="10">
        <f>'Exhibit 1-New'!O30</f>
        <v>73</v>
      </c>
      <c r="C33" s="253">
        <f>B33/$B$37</f>
        <v>0.0025458603613029225</v>
      </c>
      <c r="D33" s="236">
        <f>C33*$B$41</f>
        <v>0.018224860038617348</v>
      </c>
      <c r="E33" s="14">
        <v>0</v>
      </c>
      <c r="F33" s="236">
        <f>E33+D33</f>
        <v>0.018224860038617348</v>
      </c>
      <c r="G33" s="236">
        <f>F33*1000000/(7.48*24*60*60)</f>
        <v>0.028199983967458514</v>
      </c>
      <c r="H33" s="253">
        <f>G33/$G$37</f>
        <v>0.0025458603613029225</v>
      </c>
    </row>
    <row r="34" spans="1:8" ht="12.75">
      <c r="A34" s="263" t="s">
        <v>127</v>
      </c>
      <c r="B34" s="10">
        <f>'Exhibit 1-New'!O29</f>
        <v>68</v>
      </c>
      <c r="C34" s="253">
        <f>B34/$B$37</f>
        <v>0.0023714863639534072</v>
      </c>
      <c r="D34" s="236">
        <f>C34*$B$41</f>
        <v>0.016976581953780545</v>
      </c>
      <c r="E34" s="14">
        <v>0</v>
      </c>
      <c r="F34" s="236">
        <f>E34+D34</f>
        <v>0.016976581953780545</v>
      </c>
      <c r="G34" s="236">
        <f>F34*1000000/(7.48*24*60*60)</f>
        <v>0.026268478216262724</v>
      </c>
      <c r="H34" s="253">
        <f>G34/$G$37</f>
        <v>0.0023714863639534072</v>
      </c>
    </row>
    <row r="35" spans="1:8" ht="12.75">
      <c r="A35" s="263" t="s">
        <v>128</v>
      </c>
      <c r="B35" s="10">
        <f>'Exhibit 1-New'!O31+'Exhibit 1-New'!O32+'Exhibit 1-New'!O33+'Exhibit 1-New'!O34</f>
        <v>121</v>
      </c>
      <c r="C35" s="253">
        <f>B35/$B$37</f>
        <v>0.004219850735858269</v>
      </c>
      <c r="D35" s="236">
        <f>C35*$B$41</f>
        <v>0.030208329653050675</v>
      </c>
      <c r="E35" s="14">
        <v>0</v>
      </c>
      <c r="F35" s="236">
        <f>E35+D35</f>
        <v>0.030208329653050675</v>
      </c>
      <c r="G35" s="236">
        <f>F35*1000000/(7.48*24*60*60)</f>
        <v>0.04674243917893808</v>
      </c>
      <c r="H35" s="253">
        <f>G35/$G$37</f>
        <v>0.004219850735858268</v>
      </c>
    </row>
    <row r="36" spans="1:8" ht="12.75">
      <c r="A36" s="263" t="s">
        <v>44</v>
      </c>
      <c r="B36" s="513">
        <v>28412</v>
      </c>
      <c r="C36" s="253">
        <f>B36/$B$37</f>
        <v>0.9908628025388854</v>
      </c>
      <c r="D36" s="236">
        <f>C36*$B$41</f>
        <v>7.093215389276659</v>
      </c>
      <c r="E36" s="16">
        <v>0</v>
      </c>
      <c r="F36" s="236">
        <f>E36+D36</f>
        <v>7.093215389276659</v>
      </c>
      <c r="G36" s="236">
        <f>F36*1000000/(7.48*24*60*60)</f>
        <v>10.97558828059495</v>
      </c>
      <c r="H36" s="253">
        <f>G36/$G$37</f>
        <v>0.9908628025388854</v>
      </c>
    </row>
    <row r="37" spans="1:8" ht="12.75">
      <c r="A37" s="276" t="s">
        <v>119</v>
      </c>
      <c r="B37" s="277">
        <f>SUM(B33:B36)</f>
        <v>28674</v>
      </c>
      <c r="C37" s="517">
        <f>SUM(C33:C36)</f>
        <v>1</v>
      </c>
      <c r="D37" s="481">
        <f>SUM(D33:D36)</f>
        <v>7.158625160922107</v>
      </c>
      <c r="E37" s="518">
        <v>0</v>
      </c>
      <c r="F37" s="518">
        <v>7.168</v>
      </c>
      <c r="G37" s="481">
        <f>SUM(G33:G36)</f>
        <v>11.07679918195761</v>
      </c>
      <c r="H37" s="517">
        <f>SUM(H33:H36)</f>
        <v>1</v>
      </c>
    </row>
    <row r="38" spans="1:3" ht="12.75">
      <c r="A38" s="276"/>
      <c r="B38" s="519"/>
      <c r="C38" s="253"/>
    </row>
    <row r="39" spans="1:2" ht="12.75">
      <c r="A39" s="263" t="s">
        <v>120</v>
      </c>
      <c r="B39" s="239">
        <f>B37*100/1000000</f>
        <v>2.8674</v>
      </c>
    </row>
    <row r="40" spans="1:2" ht="12.75">
      <c r="A40" s="263" t="s">
        <v>121</v>
      </c>
      <c r="B40" s="279">
        <f>(18+POWER(B37/1000,0.5))/(4+POWER(B37/1000,0.5))</f>
        <v>2.4965561696736094</v>
      </c>
    </row>
    <row r="41" spans="1:4" ht="12.75">
      <c r="A41" s="263" t="s">
        <v>122</v>
      </c>
      <c r="B41" s="264">
        <f>B40*B39</f>
        <v>7.158625160922107</v>
      </c>
      <c r="C41" s="236">
        <f>B41*1000000/(7.48*24*60*60)</f>
        <v>11.076799181957607</v>
      </c>
      <c r="D41" s="14" t="s">
        <v>109</v>
      </c>
    </row>
    <row r="42" spans="1:4" ht="12.75">
      <c r="A42" s="265" t="s">
        <v>105</v>
      </c>
      <c r="B42" s="266">
        <v>0</v>
      </c>
      <c r="C42" s="236">
        <f>B42*1000000/(7.48*24*60*60)</f>
        <v>0</v>
      </c>
      <c r="D42" s="14" t="s">
        <v>109</v>
      </c>
    </row>
    <row r="43" spans="1:4" ht="12.75">
      <c r="A43" s="263" t="s">
        <v>123</v>
      </c>
      <c r="B43" s="264">
        <f>SUM(B41:B42)</f>
        <v>7.158625160922107</v>
      </c>
      <c r="C43" s="236">
        <f>B43*1000000/(7.48*24*60*60)</f>
        <v>11.076799181957607</v>
      </c>
      <c r="D43" s="14" t="s">
        <v>109</v>
      </c>
    </row>
    <row r="45" spans="1:8" ht="14.25">
      <c r="A45" s="88"/>
      <c r="B45" s="88"/>
      <c r="C45" s="539"/>
      <c r="D45" s="292"/>
      <c r="E45" s="292"/>
      <c r="F45" s="292"/>
      <c r="G45" s="292"/>
      <c r="H45" s="292"/>
    </row>
    <row r="46" spans="3:8" ht="12.75">
      <c r="C46" s="539"/>
      <c r="D46" s="267"/>
      <c r="E46" s="267"/>
      <c r="F46" s="267"/>
      <c r="G46" s="267"/>
      <c r="H46" s="267"/>
    </row>
    <row r="49" ht="15">
      <c r="A49" s="13"/>
    </row>
  </sheetData>
  <sheetProtection/>
  <printOptions/>
  <pageMargins left="0.7" right="0.7" top="0.75" bottom="0.75" header="0.3" footer="0.3"/>
  <pageSetup fitToHeight="1" fitToWidth="1" horizontalDpi="600" verticalDpi="600" orientation="portrait" scale="93" r:id="rId1"/>
  <headerFooter alignWithMargins="0">
    <oddFooter>&amp;L&amp;8Revised:                     6/1/2012
App.by OSG Tech. Comm.  &amp;CPage 1 of 5</oddFooter>
  </headerFooter>
  <rowBreaks count="1" manualBreakCount="1">
    <brk id="81"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H29"/>
  <sheetViews>
    <sheetView view="pageLayout" zoomScale="0" zoomScaleNormal="85" zoomScaleSheetLayoutView="100" zoomScalePageLayoutView="0" workbookViewId="0" topLeftCell="A1">
      <selection activeCell="G28" sqref="G28"/>
      <selection activeCell="A1" sqref="A1"/>
    </sheetView>
  </sheetViews>
  <sheetFormatPr defaultColWidth="9.140625" defaultRowHeight="12.75"/>
  <cols>
    <col min="1" max="1" width="28.421875" style="0" customWidth="1"/>
    <col min="2" max="2" width="9.8515625" style="0" customWidth="1"/>
    <col min="3" max="3" width="9.57421875" style="0" customWidth="1"/>
    <col min="4" max="4" width="10.421875" style="0" customWidth="1"/>
    <col min="5" max="6" width="9.57421875" style="0" customWidth="1"/>
    <col min="7" max="7" width="9.8515625" style="1" customWidth="1"/>
    <col min="8" max="8" width="10.140625" style="0" customWidth="1"/>
  </cols>
  <sheetData>
    <row r="1" ht="21.75">
      <c r="A1" s="8" t="s">
        <v>99</v>
      </c>
    </row>
    <row r="2" ht="21.75">
      <c r="A2" s="8" t="s">
        <v>1</v>
      </c>
    </row>
    <row r="3" ht="21.75">
      <c r="A3" s="8" t="s">
        <v>2</v>
      </c>
    </row>
    <row r="4" ht="21.75">
      <c r="A4" s="8" t="s">
        <v>100</v>
      </c>
    </row>
    <row r="5" ht="21.75">
      <c r="A5" s="8"/>
    </row>
    <row r="6" spans="1:8" ht="12.75">
      <c r="A6" s="267" t="s">
        <v>101</v>
      </c>
      <c r="B6" s="267"/>
      <c r="C6" s="267"/>
      <c r="D6" s="267"/>
      <c r="E6" s="267"/>
      <c r="F6" s="267"/>
      <c r="H6" s="267"/>
    </row>
    <row r="7" spans="1:8" s="559" customFormat="1" ht="25.5">
      <c r="A7" s="591" t="s">
        <v>129</v>
      </c>
      <c r="B7" s="559" t="s">
        <v>125</v>
      </c>
      <c r="C7" s="559" t="s">
        <v>133</v>
      </c>
      <c r="D7" s="559" t="s">
        <v>104</v>
      </c>
      <c r="E7" s="559" t="s">
        <v>105</v>
      </c>
      <c r="F7" s="559" t="s">
        <v>106</v>
      </c>
      <c r="G7" s="559" t="s">
        <v>107</v>
      </c>
      <c r="H7" s="559" t="s">
        <v>108</v>
      </c>
    </row>
    <row r="8" spans="1:8" ht="12.75">
      <c r="A8" s="267"/>
      <c r="B8" s="267"/>
      <c r="C8" s="267"/>
      <c r="D8" s="9" t="s">
        <v>24</v>
      </c>
      <c r="E8" s="9" t="s">
        <v>24</v>
      </c>
      <c r="F8" s="9" t="s">
        <v>24</v>
      </c>
      <c r="G8" s="14" t="s">
        <v>109</v>
      </c>
      <c r="H8" s="267"/>
    </row>
    <row r="9" spans="1:8" ht="12.75">
      <c r="A9" s="267" t="s">
        <v>8</v>
      </c>
      <c r="B9" s="268">
        <f>'Exhibit 3-1'!B9</f>
        <v>1691</v>
      </c>
      <c r="C9" s="269">
        <f>B9/$B$20</f>
        <v>0.029613155175735074</v>
      </c>
      <c r="D9" s="270">
        <f>C9*$B$24</f>
        <v>0.3739517041950373</v>
      </c>
      <c r="E9" s="19">
        <v>0</v>
      </c>
      <c r="F9" s="270">
        <f>E9+D9</f>
        <v>0.3739517041950373</v>
      </c>
      <c r="G9" s="270">
        <f>F9*1000000/(7.48*24*60*60)</f>
        <v>0.5786289738609088</v>
      </c>
      <c r="H9" s="269">
        <f aca="true" t="shared" si="0" ref="H9:H19">G9/$G$20</f>
        <v>0.029613155175735074</v>
      </c>
    </row>
    <row r="10" spans="1:8" ht="12.75">
      <c r="A10" s="267" t="s">
        <v>35</v>
      </c>
      <c r="B10" s="268">
        <f>'Exhibit 3-1'!B10</f>
        <v>2997</v>
      </c>
      <c r="C10" s="269">
        <f aca="true" t="shared" si="1" ref="C10:C19">B10/$B$20</f>
        <v>0.052484107665096404</v>
      </c>
      <c r="D10" s="270">
        <f aca="true" t="shared" si="2" ref="D10:D19">C10*$B$24</f>
        <v>0.6627636058382773</v>
      </c>
      <c r="E10" s="19">
        <v>0</v>
      </c>
      <c r="F10" s="270">
        <f aca="true" t="shared" si="3" ref="F10:F19">E10+D10</f>
        <v>0.6627636058382773</v>
      </c>
      <c r="G10" s="270">
        <f aca="true" t="shared" si="4" ref="G10:G19">F10*1000000/(7.48*24*60*60)</f>
        <v>1.0255180571621194</v>
      </c>
      <c r="H10" s="269">
        <f t="shared" si="0"/>
        <v>0.05248410766509641</v>
      </c>
    </row>
    <row r="11" spans="1:8" ht="12.75">
      <c r="A11" s="267" t="s">
        <v>418</v>
      </c>
      <c r="B11" s="268">
        <f>'Exhibit 3-1'!B11</f>
        <v>3120</v>
      </c>
      <c r="C11" s="269">
        <f t="shared" si="1"/>
        <v>0.05463811008178204</v>
      </c>
      <c r="D11" s="270">
        <f t="shared" si="2"/>
        <v>0.6899641141859943</v>
      </c>
      <c r="E11" s="19">
        <v>0</v>
      </c>
      <c r="F11" s="270">
        <f>E11+D11</f>
        <v>0.6899641141859943</v>
      </c>
      <c r="G11" s="270">
        <f t="shared" si="4"/>
        <v>1.0676063858344387</v>
      </c>
      <c r="H11" s="269">
        <f t="shared" si="0"/>
        <v>0.05463811008178205</v>
      </c>
    </row>
    <row r="12" spans="1:8" ht="12.75">
      <c r="A12" s="267" t="s">
        <v>450</v>
      </c>
      <c r="B12" s="268">
        <f>'Exhibit 3-1'!B12</f>
        <v>412</v>
      </c>
      <c r="C12" s="269">
        <f t="shared" si="1"/>
        <v>0.007215032485158398</v>
      </c>
      <c r="D12" s="270">
        <f t="shared" si="2"/>
        <v>0.09111064584763773</v>
      </c>
      <c r="E12" s="19">
        <v>0</v>
      </c>
      <c r="F12" s="270">
        <f>E12+D12</f>
        <v>0.09111064584763773</v>
      </c>
      <c r="G12" s="270">
        <f t="shared" si="4"/>
        <v>0.14097879197557334</v>
      </c>
      <c r="H12" s="269">
        <f t="shared" si="0"/>
        <v>0.0072150324851584</v>
      </c>
    </row>
    <row r="13" spans="1:8" ht="12.75">
      <c r="A13" s="267" t="s">
        <v>37</v>
      </c>
      <c r="B13" s="268">
        <f>'Exhibit 3-1'!B13</f>
        <v>516</v>
      </c>
      <c r="C13" s="269">
        <f t="shared" si="1"/>
        <v>0.0090363028212178</v>
      </c>
      <c r="D13" s="270">
        <f t="shared" si="2"/>
        <v>0.11410944965383754</v>
      </c>
      <c r="E13" s="19">
        <v>0</v>
      </c>
      <c r="F13" s="270">
        <f t="shared" si="3"/>
        <v>0.11410944965383754</v>
      </c>
      <c r="G13" s="270">
        <f t="shared" si="4"/>
        <v>0.17656567150338795</v>
      </c>
      <c r="H13" s="269">
        <f t="shared" si="0"/>
        <v>0.009036302821217802</v>
      </c>
    </row>
    <row r="14" spans="1:8" ht="12.75">
      <c r="A14" s="267" t="s">
        <v>130</v>
      </c>
      <c r="B14" s="268">
        <f>'Exhibit 3-1'!B14+'Exhibit 3-1'!B34</f>
        <v>1308</v>
      </c>
      <c r="C14" s="269">
        <f t="shared" si="1"/>
        <v>0.022905976918900933</v>
      </c>
      <c r="D14" s="270">
        <f t="shared" si="2"/>
        <v>0.2892541863318207</v>
      </c>
      <c r="E14" s="19">
        <v>0</v>
      </c>
      <c r="F14" s="270">
        <f t="shared" si="3"/>
        <v>0.2892541863318207</v>
      </c>
      <c r="G14" s="270">
        <f t="shared" si="4"/>
        <v>0.44757344636905316</v>
      </c>
      <c r="H14" s="269">
        <f t="shared" si="0"/>
        <v>0.022905976918900936</v>
      </c>
    </row>
    <row r="15" spans="1:8" ht="12.75">
      <c r="A15" s="267" t="s">
        <v>128</v>
      </c>
      <c r="B15" s="21">
        <f>'Exhibit 3-1'!B35</f>
        <v>121</v>
      </c>
      <c r="C15" s="269">
        <f t="shared" si="1"/>
        <v>0.0021189779871460344</v>
      </c>
      <c r="D15" s="270">
        <f t="shared" si="2"/>
        <v>0.02675822365913632</v>
      </c>
      <c r="E15" s="19">
        <v>0</v>
      </c>
      <c r="F15" s="270">
        <f t="shared" si="3"/>
        <v>0.02675822365913632</v>
      </c>
      <c r="G15" s="270">
        <f t="shared" si="4"/>
        <v>0.04140396560447663</v>
      </c>
      <c r="H15" s="269">
        <f t="shared" si="0"/>
        <v>0.002118977987146035</v>
      </c>
    </row>
    <row r="16" spans="1:8" ht="12.75">
      <c r="A16" s="267" t="s">
        <v>126</v>
      </c>
      <c r="B16" s="21">
        <v>73</v>
      </c>
      <c r="C16" s="269">
        <f t="shared" si="1"/>
        <v>0.0012783916781955414</v>
      </c>
      <c r="D16" s="270">
        <f t="shared" si="2"/>
        <v>0.016143391133197946</v>
      </c>
      <c r="E16" s="19">
        <v>0</v>
      </c>
      <c r="F16" s="270">
        <f t="shared" si="3"/>
        <v>0.016143391133197946</v>
      </c>
      <c r="G16" s="270">
        <f t="shared" si="4"/>
        <v>0.024979251976254495</v>
      </c>
      <c r="H16" s="269">
        <f t="shared" si="0"/>
        <v>0.0012783916781955414</v>
      </c>
    </row>
    <row r="17" spans="1:8" ht="12.75">
      <c r="A17" s="267" t="s">
        <v>131</v>
      </c>
      <c r="B17" s="21">
        <f>'Exhibit 3-1'!B17</f>
        <v>868</v>
      </c>
      <c r="C17" s="269">
        <f t="shared" si="1"/>
        <v>0.015200602420188081</v>
      </c>
      <c r="D17" s="270">
        <f t="shared" si="2"/>
        <v>0.1919515548440523</v>
      </c>
      <c r="E17" s="19">
        <v>0</v>
      </c>
      <c r="F17" s="270">
        <f t="shared" si="3"/>
        <v>0.1919515548440523</v>
      </c>
      <c r="G17" s="270">
        <f t="shared" si="4"/>
        <v>0.2970135714436836</v>
      </c>
      <c r="H17" s="269">
        <f t="shared" si="0"/>
        <v>0.015200602420188085</v>
      </c>
    </row>
    <row r="18" spans="1:8" ht="12.75">
      <c r="A18" s="267" t="s">
        <v>68</v>
      </c>
      <c r="B18" s="268">
        <v>3497</v>
      </c>
      <c r="C18" s="269">
        <f t="shared" si="1"/>
        <v>0.061240215049997375</v>
      </c>
      <c r="D18" s="270">
        <f t="shared" si="2"/>
        <v>0.7733347779834687</v>
      </c>
      <c r="E18" s="19">
        <v>0</v>
      </c>
      <c r="F18" s="270">
        <f t="shared" si="3"/>
        <v>0.7733347779834687</v>
      </c>
      <c r="G18" s="270">
        <f t="shared" si="4"/>
        <v>1.1966088241227668</v>
      </c>
      <c r="H18" s="269">
        <f t="shared" si="0"/>
        <v>0.06124021504999739</v>
      </c>
    </row>
    <row r="19" spans="1:8" ht="12.75">
      <c r="A19" s="267" t="s">
        <v>44</v>
      </c>
      <c r="B19" s="592">
        <v>42500</v>
      </c>
      <c r="C19" s="269">
        <f t="shared" si="1"/>
        <v>0.7442691277165823</v>
      </c>
      <c r="D19" s="270">
        <f t="shared" si="2"/>
        <v>9.398549632341268</v>
      </c>
      <c r="E19" s="20">
        <v>0</v>
      </c>
      <c r="F19" s="270">
        <f t="shared" si="3"/>
        <v>9.398549632341268</v>
      </c>
      <c r="G19" s="270">
        <f t="shared" si="4"/>
        <v>14.542715191655011</v>
      </c>
      <c r="H19" s="269">
        <f t="shared" si="0"/>
        <v>0.7442691277165823</v>
      </c>
    </row>
    <row r="20" spans="1:8" ht="12.75">
      <c r="A20" s="593" t="s">
        <v>119</v>
      </c>
      <c r="B20" s="595">
        <f>SUM(B9:B19)</f>
        <v>57103</v>
      </c>
      <c r="C20" s="596">
        <f>SUM(C9:C19)</f>
        <v>1</v>
      </c>
      <c r="D20" s="597">
        <f>SUM(D9:D19)</f>
        <v>12.627891286013728</v>
      </c>
      <c r="E20" s="598">
        <v>0</v>
      </c>
      <c r="F20" s="597"/>
      <c r="G20" s="597">
        <f>SUM(G9:G19)</f>
        <v>19.539592131507675</v>
      </c>
      <c r="H20" s="599">
        <f>SUM(H9:H19)</f>
        <v>1</v>
      </c>
    </row>
    <row r="21" spans="1:8" ht="12.75">
      <c r="A21" s="267"/>
      <c r="B21" s="268"/>
      <c r="C21" s="593"/>
      <c r="D21" s="594"/>
      <c r="E21" s="594"/>
      <c r="F21" s="593"/>
      <c r="H21" s="593"/>
    </row>
    <row r="22" spans="1:8" ht="12.75">
      <c r="A22" s="267" t="s">
        <v>132</v>
      </c>
      <c r="B22" s="600">
        <f>B20*100/1000000</f>
        <v>5.7103</v>
      </c>
      <c r="C22" s="267"/>
      <c r="D22" s="267"/>
      <c r="E22" s="267"/>
      <c r="F22" s="267"/>
      <c r="H22" s="267"/>
    </row>
    <row r="23" spans="1:8" ht="12.75">
      <c r="A23" s="267" t="s">
        <v>121</v>
      </c>
      <c r="B23" s="279">
        <f>(18+POWER(B20/1000,0.5))/(4+POWER(B20/1000,0.5))</f>
        <v>2.211423442903828</v>
      </c>
      <c r="C23" s="267"/>
      <c r="D23" s="267"/>
      <c r="E23" s="267"/>
      <c r="F23" s="267"/>
      <c r="H23" s="267"/>
    </row>
    <row r="24" spans="1:8" ht="12.75">
      <c r="A24" s="267" t="s">
        <v>122</v>
      </c>
      <c r="B24" s="601">
        <f>B23*B22</f>
        <v>12.62789128601373</v>
      </c>
      <c r="C24" s="236">
        <f>B24*1000000/(7.48*24*60*60)</f>
        <v>19.53959213150768</v>
      </c>
      <c r="D24" s="11" t="s">
        <v>109</v>
      </c>
      <c r="E24" s="267"/>
      <c r="F24" s="267"/>
      <c r="H24" s="267"/>
    </row>
    <row r="25" spans="1:8" ht="12.75">
      <c r="A25" s="267" t="s">
        <v>105</v>
      </c>
      <c r="B25" s="602">
        <v>0</v>
      </c>
      <c r="C25" s="236">
        <v>0</v>
      </c>
      <c r="D25" s="11" t="s">
        <v>109</v>
      </c>
      <c r="E25" s="267"/>
      <c r="F25" s="267"/>
      <c r="H25" s="267"/>
    </row>
    <row r="26" spans="1:8" ht="12.75">
      <c r="A26" s="267" t="s">
        <v>123</v>
      </c>
      <c r="B26" s="601">
        <f>SUM(B24:B25)</f>
        <v>12.62789128601373</v>
      </c>
      <c r="C26" s="236">
        <f>B26*1000000/(7.48*24*60*60)</f>
        <v>19.53959213150768</v>
      </c>
      <c r="D26" s="11" t="s">
        <v>109</v>
      </c>
      <c r="E26" s="267"/>
      <c r="F26" s="267"/>
      <c r="H26" s="267"/>
    </row>
    <row r="28" spans="1:8" ht="14.25">
      <c r="A28" s="88"/>
      <c r="B28" s="88"/>
      <c r="C28" s="539"/>
      <c r="D28" s="292"/>
      <c r="E28" s="292"/>
      <c r="F28" s="292"/>
      <c r="G28" s="292"/>
      <c r="H28" s="292"/>
    </row>
    <row r="29" spans="3:8" ht="12.75">
      <c r="C29" s="539"/>
      <c r="D29" s="267"/>
      <c r="E29" s="267"/>
      <c r="F29" s="267"/>
      <c r="G29" s="267"/>
      <c r="H29" s="267"/>
    </row>
  </sheetData>
  <sheetProtection/>
  <printOptions/>
  <pageMargins left="0.41" right="0.37" top="0.75" bottom="0.75" header="0.3" footer="0.3"/>
  <pageSetup fitToHeight="1" fitToWidth="1" horizontalDpi="600" verticalDpi="600" orientation="portrait" r:id="rId1"/>
  <headerFooter alignWithMargins="0">
    <oddFooter>&amp;L&amp;8Revised:                             6/1/2012
App.by OSG Tech. Comm.  &amp;CPage 2 of 5 Pages</oddFooter>
  </headerFooter>
  <rowBreaks count="1" manualBreakCount="1">
    <brk id="81"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H68"/>
  <sheetViews>
    <sheetView view="pageLayout" zoomScale="0" zoomScaleNormal="85" zoomScaleSheetLayoutView="100" zoomScalePageLayoutView="0" workbookViewId="0" topLeftCell="A1">
      <selection activeCell="G28" sqref="G28"/>
      <selection activeCell="A1" sqref="A1"/>
    </sheetView>
  </sheetViews>
  <sheetFormatPr defaultColWidth="9.140625" defaultRowHeight="12.75"/>
  <cols>
    <col min="1" max="1" width="28.421875" style="0" customWidth="1"/>
    <col min="2" max="2" width="9.7109375" style="0" customWidth="1"/>
    <col min="3" max="3" width="13.8515625" style="244" bestFit="1" customWidth="1"/>
    <col min="4" max="4" width="10.57421875" style="0" customWidth="1"/>
    <col min="5" max="5" width="9.57421875" style="0" customWidth="1"/>
    <col min="6" max="6" width="10.140625" style="0" customWidth="1"/>
    <col min="7" max="7" width="9.421875" style="0" customWidth="1"/>
    <col min="8" max="8" width="10.8515625" style="244" customWidth="1"/>
  </cols>
  <sheetData>
    <row r="1" ht="21.75">
      <c r="A1" s="8" t="s">
        <v>99</v>
      </c>
    </row>
    <row r="2" ht="21.75">
      <c r="A2" s="8" t="s">
        <v>1</v>
      </c>
    </row>
    <row r="3" ht="21.75">
      <c r="A3" s="8" t="s">
        <v>2</v>
      </c>
    </row>
    <row r="4" ht="21.75">
      <c r="A4" s="8" t="s">
        <v>100</v>
      </c>
    </row>
    <row r="6" spans="1:8" ht="12.75">
      <c r="A6" s="267" t="s">
        <v>134</v>
      </c>
      <c r="B6" s="267"/>
      <c r="D6" s="267"/>
      <c r="E6" s="267"/>
      <c r="F6" s="267"/>
      <c r="G6" s="267"/>
      <c r="H6" s="271"/>
    </row>
    <row r="7" spans="1:8" ht="25.5">
      <c r="A7" s="267" t="s">
        <v>135</v>
      </c>
      <c r="B7" s="272" t="s">
        <v>103</v>
      </c>
      <c r="C7" s="246" t="s">
        <v>133</v>
      </c>
      <c r="D7" s="272" t="s">
        <v>136</v>
      </c>
      <c r="E7" s="272" t="s">
        <v>105</v>
      </c>
      <c r="F7" s="245" t="s">
        <v>106</v>
      </c>
      <c r="G7" s="273" t="s">
        <v>107</v>
      </c>
      <c r="H7" s="274" t="s">
        <v>108</v>
      </c>
    </row>
    <row r="8" spans="1:8" ht="12.75">
      <c r="A8" s="267"/>
      <c r="B8" s="267"/>
      <c r="D8" s="14" t="s">
        <v>24</v>
      </c>
      <c r="E8" s="14" t="s">
        <v>24</v>
      </c>
      <c r="F8" s="14" t="s">
        <v>24</v>
      </c>
      <c r="G8" s="14" t="s">
        <v>109</v>
      </c>
      <c r="H8" s="253"/>
    </row>
    <row r="9" spans="1:8" ht="12.75">
      <c r="A9" s="263" t="s">
        <v>146</v>
      </c>
      <c r="B9" s="220">
        <f>'Exhibit 1-New'!O59</f>
        <v>7768</v>
      </c>
      <c r="C9" s="244">
        <f>B9/$B$14</f>
        <v>0.45820798678699937</v>
      </c>
      <c r="D9" s="239">
        <f>C9*$B$17</f>
        <v>2.1165389798685004</v>
      </c>
      <c r="E9" s="17">
        <v>0</v>
      </c>
      <c r="F9" s="239">
        <f>E9+D9</f>
        <v>2.1165389798685004</v>
      </c>
      <c r="G9" s="239">
        <f>F9*1000000/(7.48*24*60*60)</f>
        <v>3.274997183644813</v>
      </c>
      <c r="H9" s="244">
        <f>G9/$C$19</f>
        <v>0.45820798678699937</v>
      </c>
    </row>
    <row r="10" spans="1:8" ht="12.75">
      <c r="A10" s="263" t="s">
        <v>137</v>
      </c>
      <c r="B10" s="220">
        <f>'Exhibit 1-New'!O62</f>
        <v>1676</v>
      </c>
      <c r="C10" s="244">
        <f>B10/$B$14</f>
        <v>0.09886155842623724</v>
      </c>
      <c r="D10" s="239">
        <f>C10*$B$17</f>
        <v>0.4566579982311543</v>
      </c>
      <c r="E10" s="17">
        <v>0</v>
      </c>
      <c r="F10" s="239">
        <f>E10+D10</f>
        <v>0.4566579982311543</v>
      </c>
      <c r="G10" s="239">
        <f>F10*1000000/(7.48*24*60*60)</f>
        <v>0.7066034088296481</v>
      </c>
      <c r="H10" s="244">
        <f>G10/$C$19</f>
        <v>0.09886155842623724</v>
      </c>
    </row>
    <row r="11" spans="1:8" ht="12.75">
      <c r="A11" s="263" t="s">
        <v>138</v>
      </c>
      <c r="B11" s="220">
        <f>'Exhibit 1-New'!O60</f>
        <v>6548</v>
      </c>
      <c r="C11" s="244">
        <f>B11/$B$14</f>
        <v>0.3862443225387837</v>
      </c>
      <c r="D11" s="239">
        <f>C11*$B$17</f>
        <v>1.7841268331847246</v>
      </c>
      <c r="E11" s="17">
        <v>0</v>
      </c>
      <c r="F11" s="239">
        <f>E11+D11</f>
        <v>1.7841268331847246</v>
      </c>
      <c r="G11" s="239">
        <f>F11*1000000/(7.48*24*60*60)</f>
        <v>2.7606438669549735</v>
      </c>
      <c r="H11" s="244">
        <f>G11/$C$19</f>
        <v>0.3862443225387837</v>
      </c>
    </row>
    <row r="12" spans="1:8" ht="12.75">
      <c r="A12" s="263" t="s">
        <v>207</v>
      </c>
      <c r="B12" s="10">
        <f>'Exhibit 1-New'!O61</f>
        <v>660</v>
      </c>
      <c r="C12" s="244">
        <f>B12/$B$14</f>
        <v>0.03893116262608388</v>
      </c>
      <c r="D12" s="239">
        <f>C12*$B$17</f>
        <v>0.17982952197646887</v>
      </c>
      <c r="E12" s="17">
        <v>0</v>
      </c>
      <c r="F12" s="239">
        <f>E12+D12</f>
        <v>0.17982952197646887</v>
      </c>
      <c r="G12" s="239">
        <f>F12*1000000/(7.48*24*60*60)</f>
        <v>0.27825671230761795</v>
      </c>
      <c r="H12" s="244">
        <f>G12/$C$19</f>
        <v>0.03893116262608388</v>
      </c>
    </row>
    <row r="13" spans="1:8" ht="12.75">
      <c r="A13" s="263" t="s">
        <v>44</v>
      </c>
      <c r="B13" s="206">
        <v>301</v>
      </c>
      <c r="C13" s="275">
        <f>B13/$B$14</f>
        <v>0.01775496962189583</v>
      </c>
      <c r="D13" s="266">
        <f>C13*$B$17</f>
        <v>0.08201316078017747</v>
      </c>
      <c r="E13" s="18">
        <v>0</v>
      </c>
      <c r="F13" s="266">
        <f>E13+D13</f>
        <v>0.08201316078017747</v>
      </c>
      <c r="G13" s="266">
        <f>F13*1000000/(7.48*24*60*60)</f>
        <v>0.12690192485544394</v>
      </c>
      <c r="H13" s="275">
        <f>G13/$C$19</f>
        <v>0.017754969621895825</v>
      </c>
    </row>
    <row r="14" spans="1:8" ht="12.75">
      <c r="A14" s="276" t="s">
        <v>119</v>
      </c>
      <c r="B14" s="277">
        <f>SUM(B9:B13)</f>
        <v>16953</v>
      </c>
      <c r="C14" s="278">
        <f>SUM(C9:C13)</f>
        <v>1</v>
      </c>
      <c r="D14" s="264">
        <f>SUM(D9:D13)</f>
        <v>4.619166494041026</v>
      </c>
      <c r="E14" s="264">
        <v>0</v>
      </c>
      <c r="F14" s="264">
        <f>SUM(F9:F13)</f>
        <v>4.619166494041026</v>
      </c>
      <c r="G14" s="264">
        <f>SUM(G9:G13)</f>
        <v>7.147403096592496</v>
      </c>
      <c r="H14" s="278">
        <f>SUM(H9:H13)</f>
        <v>1</v>
      </c>
    </row>
    <row r="15" spans="1:8" ht="12.75">
      <c r="A15" s="263" t="s">
        <v>140</v>
      </c>
      <c r="B15" s="239">
        <f>B14*100/1000000</f>
        <v>1.6953</v>
      </c>
      <c r="D15" s="267"/>
      <c r="E15" s="267"/>
      <c r="F15" s="267"/>
      <c r="G15" s="267"/>
      <c r="H15" s="271"/>
    </row>
    <row r="16" spans="1:8" ht="12.75">
      <c r="A16" s="263" t="s">
        <v>121</v>
      </c>
      <c r="B16" s="279">
        <f>(18+POWER(B14/1000,0.5))/(4+POWER(B14/1000,0.5))</f>
        <v>2.724689726916195</v>
      </c>
      <c r="D16" s="267"/>
      <c r="E16" s="267"/>
      <c r="F16" s="267"/>
      <c r="G16" s="267"/>
      <c r="H16" s="271"/>
    </row>
    <row r="17" spans="1:8" ht="12.75">
      <c r="A17" s="263" t="s">
        <v>141</v>
      </c>
      <c r="B17" s="264">
        <f>B16*B15</f>
        <v>4.619166494041026</v>
      </c>
      <c r="C17" s="239">
        <f>B17*1000000/(7.48*24*60*60)</f>
        <v>7.147403096592496</v>
      </c>
      <c r="D17" s="11" t="s">
        <v>109</v>
      </c>
      <c r="E17" s="267"/>
      <c r="F17" s="267"/>
      <c r="G17" s="267"/>
      <c r="H17" s="271"/>
    </row>
    <row r="18" spans="1:8" ht="12.75">
      <c r="A18" s="263" t="s">
        <v>105</v>
      </c>
      <c r="B18" s="280">
        <v>0</v>
      </c>
      <c r="C18" s="239">
        <v>0</v>
      </c>
      <c r="D18" s="267"/>
      <c r="E18" s="267"/>
      <c r="F18" s="267"/>
      <c r="G18" s="267"/>
      <c r="H18" s="271"/>
    </row>
    <row r="19" spans="1:8" ht="12.75">
      <c r="A19" s="263" t="s">
        <v>123</v>
      </c>
      <c r="B19" s="264">
        <f>SUM(B17:B18)</f>
        <v>4.619166494041026</v>
      </c>
      <c r="C19" s="239">
        <f>B19*1000000/(7.48*24*60*60)</f>
        <v>7.147403096592496</v>
      </c>
      <c r="D19" s="11" t="s">
        <v>109</v>
      </c>
      <c r="E19" s="267"/>
      <c r="F19" s="267"/>
      <c r="G19" s="267"/>
      <c r="H19" s="271"/>
    </row>
    <row r="20" spans="1:8" ht="12.75">
      <c r="A20" s="263"/>
      <c r="B20" s="239"/>
      <c r="D20" s="11"/>
      <c r="E20" s="267"/>
      <c r="F20" s="267"/>
      <c r="G20" s="267"/>
      <c r="H20" s="271"/>
    </row>
    <row r="21" spans="1:8" ht="25.5">
      <c r="A21" s="267" t="s">
        <v>142</v>
      </c>
      <c r="B21" s="272" t="s">
        <v>125</v>
      </c>
      <c r="C21" s="246" t="s">
        <v>133</v>
      </c>
      <c r="D21" s="272" t="s">
        <v>136</v>
      </c>
      <c r="E21" s="272" t="s">
        <v>105</v>
      </c>
      <c r="F21" s="245" t="s">
        <v>106</v>
      </c>
      <c r="G21" s="245" t="s">
        <v>107</v>
      </c>
      <c r="H21" s="274" t="s">
        <v>108</v>
      </c>
    </row>
    <row r="22" spans="1:8" ht="12.75">
      <c r="A22" s="267"/>
      <c r="B22" s="225"/>
      <c r="C22" s="250"/>
      <c r="D22" s="191" t="s">
        <v>24</v>
      </c>
      <c r="E22" s="245" t="s">
        <v>24</v>
      </c>
      <c r="F22" s="191" t="s">
        <v>24</v>
      </c>
      <c r="G22" s="245" t="s">
        <v>109</v>
      </c>
      <c r="H22" s="250"/>
    </row>
    <row r="23" spans="1:8" ht="12.75">
      <c r="A23" s="263" t="s">
        <v>143</v>
      </c>
      <c r="B23" s="252">
        <f>'Exhibit 1-New'!O51</f>
        <v>2115</v>
      </c>
      <c r="C23" s="244">
        <f>B23/$B$26</f>
        <v>0.28952772073921973</v>
      </c>
      <c r="D23" s="239">
        <f>C23*$B$30</f>
        <v>0.6532572428544935</v>
      </c>
      <c r="E23" s="188">
        <v>0</v>
      </c>
      <c r="F23" s="281">
        <f>E23+D23</f>
        <v>0.6532572428544935</v>
      </c>
      <c r="G23" s="270">
        <f>F23*1000000/(7.48*24*60*60)</f>
        <v>1.0108085184790514</v>
      </c>
      <c r="H23" s="282">
        <f>G23/$C$32</f>
        <v>0.28952772073921973</v>
      </c>
    </row>
    <row r="24" spans="1:8" ht="14.25">
      <c r="A24" s="283" t="s">
        <v>207</v>
      </c>
      <c r="B24" s="190">
        <f>'Exhibit 1-New'!O54+'Exhibit 1-New'!O52</f>
        <v>972</v>
      </c>
      <c r="C24" s="244">
        <f>B24/$B$26</f>
        <v>0.13305954825462013</v>
      </c>
      <c r="D24" s="239">
        <f>C24*$B$30</f>
        <v>0.30022034990759705</v>
      </c>
      <c r="E24" s="188">
        <v>0</v>
      </c>
      <c r="F24" s="281">
        <f>E24+D24</f>
        <v>0.30022034990759705</v>
      </c>
      <c r="G24" s="270">
        <f>F24*1000000/(7.48*24*60*60)</f>
        <v>0.46454178721590456</v>
      </c>
      <c r="H24" s="282">
        <f>G24/$C$32</f>
        <v>0.13305954825462016</v>
      </c>
    </row>
    <row r="25" spans="1:8" ht="12.75">
      <c r="A25" s="263" t="s">
        <v>44</v>
      </c>
      <c r="B25" s="284">
        <v>4218</v>
      </c>
      <c r="C25" s="275">
        <f>B25/$B$26</f>
        <v>0.5774127310061602</v>
      </c>
      <c r="D25" s="266">
        <f>C25*$B$30</f>
        <v>1.3028080616360538</v>
      </c>
      <c r="E25" s="189">
        <v>0</v>
      </c>
      <c r="F25" s="280">
        <f>E25+D25</f>
        <v>1.3028080616360538</v>
      </c>
      <c r="G25" s="279">
        <f>F25*1000000/(7.48*24*60*60)</f>
        <v>2.015881953165314</v>
      </c>
      <c r="H25" s="285">
        <f>G25/$C$32</f>
        <v>0.5774127310061602</v>
      </c>
    </row>
    <row r="26" spans="1:8" ht="12.75">
      <c r="A26" s="276" t="s">
        <v>119</v>
      </c>
      <c r="B26" s="286">
        <f>SUM(B23:B25)</f>
        <v>7305</v>
      </c>
      <c r="C26" s="287">
        <f>SUM(C23:C25)</f>
        <v>1</v>
      </c>
      <c r="D26" s="288">
        <f>SUM(D23:D25)</f>
        <v>2.256285654398144</v>
      </c>
      <c r="E26" s="264">
        <v>0</v>
      </c>
      <c r="F26" s="288">
        <f>SUM(F23:F25)</f>
        <v>2.256285654398144</v>
      </c>
      <c r="G26" s="288">
        <f>SUM(G23:G25)</f>
        <v>3.49123225886027</v>
      </c>
      <c r="H26" s="289">
        <f>SUM(H23:H25)</f>
        <v>1</v>
      </c>
    </row>
    <row r="27" spans="1:8" ht="12.75">
      <c r="A27" s="276"/>
      <c r="B27" s="252"/>
      <c r="C27" s="250"/>
      <c r="D27" s="281"/>
      <c r="E27" s="239"/>
      <c r="F27" s="281"/>
      <c r="G27" s="281"/>
      <c r="H27" s="282"/>
    </row>
    <row r="28" spans="1:8" ht="12.75">
      <c r="A28" s="263" t="s">
        <v>132</v>
      </c>
      <c r="B28" s="239">
        <f>B26*100/1000000</f>
        <v>0.7305</v>
      </c>
      <c r="C28" s="250"/>
      <c r="D28" s="225"/>
      <c r="E28" s="225"/>
      <c r="F28" s="225"/>
      <c r="G28" s="225"/>
      <c r="H28" s="250"/>
    </row>
    <row r="29" spans="1:8" ht="12.75">
      <c r="A29" s="263" t="s">
        <v>121</v>
      </c>
      <c r="B29" s="279">
        <f>(18+POWER(B26/1000,0.5))/(4+POWER(B26/1000,0.5))</f>
        <v>3.0886867274444136</v>
      </c>
      <c r="C29" s="250"/>
      <c r="D29" s="225"/>
      <c r="E29" s="225"/>
      <c r="F29" s="225"/>
      <c r="G29" s="225"/>
      <c r="H29" s="250"/>
    </row>
    <row r="30" spans="1:8" ht="12.75">
      <c r="A30" s="263" t="s">
        <v>141</v>
      </c>
      <c r="B30" s="288">
        <f>B29*B28</f>
        <v>2.256285654398144</v>
      </c>
      <c r="C30" s="239">
        <f>B30*1000000/(7.48*24*60*60)</f>
        <v>3.4912322588602698</v>
      </c>
      <c r="D30" s="188" t="s">
        <v>109</v>
      </c>
      <c r="E30" s="225"/>
      <c r="F30" s="225"/>
      <c r="G30" s="225"/>
      <c r="H30" s="250"/>
    </row>
    <row r="31" spans="1:8" ht="12.75">
      <c r="A31" s="263" t="s">
        <v>105</v>
      </c>
      <c r="B31" s="280">
        <v>0</v>
      </c>
      <c r="C31" s="281">
        <v>0</v>
      </c>
      <c r="D31" s="188" t="s">
        <v>109</v>
      </c>
      <c r="E31" s="225"/>
      <c r="F31" s="225"/>
      <c r="G31" s="225"/>
      <c r="H31" s="250"/>
    </row>
    <row r="32" spans="1:8" ht="12.75">
      <c r="A32" s="263" t="s">
        <v>123</v>
      </c>
      <c r="B32" s="288">
        <f>SUM(B30:B31)</f>
        <v>2.256285654398144</v>
      </c>
      <c r="C32" s="239">
        <f>B32*1000000/(7.48*24*60*60)</f>
        <v>3.4912322588602698</v>
      </c>
      <c r="D32" s="188" t="s">
        <v>109</v>
      </c>
      <c r="E32" s="225"/>
      <c r="F32" s="225"/>
      <c r="G32" s="225"/>
      <c r="H32" s="250"/>
    </row>
    <row r="33" spans="1:8" ht="12.75">
      <c r="A33" s="263"/>
      <c r="B33" s="225"/>
      <c r="C33" s="250"/>
      <c r="D33" s="188"/>
      <c r="E33" s="225"/>
      <c r="F33" s="225"/>
      <c r="G33" s="225"/>
      <c r="H33" s="250"/>
    </row>
    <row r="34" spans="1:8" ht="25.5">
      <c r="A34" s="267" t="s">
        <v>144</v>
      </c>
      <c r="B34" s="272" t="s">
        <v>125</v>
      </c>
      <c r="C34" s="246" t="s">
        <v>133</v>
      </c>
      <c r="D34" s="272" t="s">
        <v>136</v>
      </c>
      <c r="E34" s="272" t="s">
        <v>105</v>
      </c>
      <c r="F34" s="245" t="s">
        <v>106</v>
      </c>
      <c r="G34" s="245" t="s">
        <v>107</v>
      </c>
      <c r="H34" s="274" t="s">
        <v>145</v>
      </c>
    </row>
    <row r="35" spans="1:8" ht="12.75">
      <c r="A35" s="267"/>
      <c r="B35" s="245"/>
      <c r="C35" s="246"/>
      <c r="D35" s="191" t="s">
        <v>24</v>
      </c>
      <c r="E35" s="191" t="s">
        <v>24</v>
      </c>
      <c r="F35" s="191" t="s">
        <v>24</v>
      </c>
      <c r="G35" s="245" t="s">
        <v>109</v>
      </c>
      <c r="H35" s="246"/>
    </row>
    <row r="36" spans="1:8" ht="12.75">
      <c r="A36" s="263" t="s">
        <v>146</v>
      </c>
      <c r="B36" s="252">
        <f>'Exhibit 1-New'!O59+'Exhibit 1-New'!O66</f>
        <v>7820</v>
      </c>
      <c r="C36" s="244">
        <f>B36/$B$44</f>
        <v>0.2772263187748156</v>
      </c>
      <c r="D36" s="239">
        <f>C36*$B$48</f>
        <v>1.9577983485312516</v>
      </c>
      <c r="E36" s="188">
        <v>0</v>
      </c>
      <c r="F36" s="281">
        <f>E36+D36</f>
        <v>1.9577983485312516</v>
      </c>
      <c r="G36" s="270">
        <f aca="true" t="shared" si="0" ref="G36:G43">F36*1000000/(7.48*24*60*60)</f>
        <v>3.029372073262112</v>
      </c>
      <c r="H36" s="282">
        <f>G36/$C$50</f>
        <v>0.2772263187748156</v>
      </c>
    </row>
    <row r="37" spans="1:8" ht="12.75">
      <c r="A37" s="263" t="s">
        <v>147</v>
      </c>
      <c r="B37" s="252">
        <f>'Exhibit 1-New'!O65</f>
        <v>2649</v>
      </c>
      <c r="C37" s="244">
        <f aca="true" t="shared" si="1" ref="C37:C43">B37/$B$44</f>
        <v>0.09390952921157118</v>
      </c>
      <c r="D37" s="239">
        <f aca="true" t="shared" si="2" ref="D37:D43">C37*$B$48</f>
        <v>0.6631979316188346</v>
      </c>
      <c r="E37" s="188">
        <v>0</v>
      </c>
      <c r="F37" s="281">
        <f aca="true" t="shared" si="3" ref="F37:F43">E37+D37</f>
        <v>0.6631979316188346</v>
      </c>
      <c r="G37" s="270">
        <f t="shared" si="0"/>
        <v>1.0261901051242117</v>
      </c>
      <c r="H37" s="282">
        <f aca="true" t="shared" si="4" ref="H37:H43">G37/$C$50</f>
        <v>0.0939095292115712</v>
      </c>
    </row>
    <row r="38" spans="1:8" ht="12.75">
      <c r="A38" s="263" t="s">
        <v>137</v>
      </c>
      <c r="B38" s="252">
        <f>'Exhibit 1-New'!O62</f>
        <v>1676</v>
      </c>
      <c r="C38" s="244">
        <f t="shared" si="1"/>
        <v>0.05941576857629041</v>
      </c>
      <c r="D38" s="239">
        <f t="shared" si="2"/>
        <v>0.4195997483552913</v>
      </c>
      <c r="E38" s="188">
        <v>0</v>
      </c>
      <c r="F38" s="281">
        <f t="shared" si="3"/>
        <v>0.4195997483552913</v>
      </c>
      <c r="G38" s="270">
        <f t="shared" si="0"/>
        <v>0.6492618407656394</v>
      </c>
      <c r="H38" s="282">
        <f t="shared" si="4"/>
        <v>0.05941576857629042</v>
      </c>
    </row>
    <row r="39" spans="1:8" ht="12.75">
      <c r="A39" s="263" t="s">
        <v>138</v>
      </c>
      <c r="B39" s="252">
        <f>'Exhibit 1-New'!O60</f>
        <v>6548</v>
      </c>
      <c r="C39" s="244">
        <f t="shared" si="1"/>
        <v>0.23213272830402723</v>
      </c>
      <c r="D39" s="239">
        <f t="shared" si="2"/>
        <v>1.6393431695885725</v>
      </c>
      <c r="E39" s="188">
        <v>0</v>
      </c>
      <c r="F39" s="281">
        <f t="shared" si="3"/>
        <v>1.6393431695885725</v>
      </c>
      <c r="G39" s="270">
        <f t="shared" si="0"/>
        <v>2.536614876690577</v>
      </c>
      <c r="H39" s="282">
        <f t="shared" si="4"/>
        <v>0.23213272830402726</v>
      </c>
    </row>
    <row r="40" spans="1:8" ht="12.75">
      <c r="A40" s="263" t="s">
        <v>143</v>
      </c>
      <c r="B40" s="252">
        <f>'Exhibit 1-New'!O51</f>
        <v>2115</v>
      </c>
      <c r="C40" s="244">
        <f t="shared" si="1"/>
        <v>0.07497872943845718</v>
      </c>
      <c r="D40" s="239">
        <f t="shared" si="2"/>
        <v>0.5295068423457286</v>
      </c>
      <c r="E40" s="188">
        <v>0</v>
      </c>
      <c r="F40" s="281">
        <f t="shared" si="3"/>
        <v>0.5295068423457286</v>
      </c>
      <c r="G40" s="270">
        <f t="shared" si="0"/>
        <v>0.8193250556201238</v>
      </c>
      <c r="H40" s="282">
        <f t="shared" si="4"/>
        <v>0.07497872943845718</v>
      </c>
    </row>
    <row r="41" spans="1:8" ht="12.75" customHeight="1">
      <c r="A41" s="263" t="s">
        <v>148</v>
      </c>
      <c r="B41" s="190">
        <f>'Exhibit 1-New'!O58</f>
        <v>660</v>
      </c>
      <c r="C41" s="244">
        <f t="shared" si="1"/>
        <v>0.023397617697107204</v>
      </c>
      <c r="D41" s="239">
        <f t="shared" si="2"/>
        <v>0.165236177753277</v>
      </c>
      <c r="E41" s="188">
        <v>0</v>
      </c>
      <c r="F41" s="281">
        <f t="shared" si="3"/>
        <v>0.165236177753277</v>
      </c>
      <c r="G41" s="270">
        <f t="shared" si="0"/>
        <v>0.25567590388145706</v>
      </c>
      <c r="H41" s="282">
        <f t="shared" si="4"/>
        <v>0.023397617697107204</v>
      </c>
    </row>
    <row r="42" spans="1:8" ht="12.75">
      <c r="A42" s="263" t="s">
        <v>149</v>
      </c>
      <c r="B42" s="190">
        <f>'Exhibit 1-New'!O54+'Exhibit 1-New'!O58</f>
        <v>972</v>
      </c>
      <c r="C42" s="244">
        <f t="shared" si="1"/>
        <v>0.034458309699376063</v>
      </c>
      <c r="D42" s="239">
        <f t="shared" si="2"/>
        <v>0.2433478254184625</v>
      </c>
      <c r="E42" s="188">
        <v>0</v>
      </c>
      <c r="F42" s="281">
        <f t="shared" si="3"/>
        <v>0.2433478254184625</v>
      </c>
      <c r="G42" s="270">
        <f t="shared" si="0"/>
        <v>0.3765408766254186</v>
      </c>
      <c r="H42" s="282">
        <f t="shared" si="4"/>
        <v>0.034458309699376063</v>
      </c>
    </row>
    <row r="43" spans="1:8" ht="12.75" customHeight="1">
      <c r="A43" s="265" t="s">
        <v>44</v>
      </c>
      <c r="B43" s="284">
        <v>5768</v>
      </c>
      <c r="C43" s="275">
        <f t="shared" si="1"/>
        <v>0.2044809982983551</v>
      </c>
      <c r="D43" s="266">
        <f t="shared" si="2"/>
        <v>1.4440640504256088</v>
      </c>
      <c r="E43" s="189">
        <v>0</v>
      </c>
      <c r="F43" s="280">
        <f t="shared" si="3"/>
        <v>1.4440640504256088</v>
      </c>
      <c r="G43" s="279">
        <f t="shared" si="0"/>
        <v>2.2344524448306733</v>
      </c>
      <c r="H43" s="285">
        <f t="shared" si="4"/>
        <v>0.2044809982983551</v>
      </c>
    </row>
    <row r="44" spans="1:8" ht="12.75">
      <c r="A44" s="276" t="s">
        <v>119</v>
      </c>
      <c r="B44" s="286">
        <f>SUM(B36:B43)</f>
        <v>28208</v>
      </c>
      <c r="C44" s="287">
        <f>SUM(C36:C43)</f>
        <v>1</v>
      </c>
      <c r="D44" s="288">
        <f>SUM(D36:D43)</f>
        <v>7.062094094037027</v>
      </c>
      <c r="E44" s="264">
        <v>0</v>
      </c>
      <c r="F44" s="288">
        <f>SUM(F36:F43)</f>
        <v>7.062094094037027</v>
      </c>
      <c r="G44" s="288">
        <f>SUM(G36:G43)</f>
        <v>10.927433176800212</v>
      </c>
      <c r="H44" s="287">
        <f>SUM(H36:H43)</f>
        <v>1</v>
      </c>
    </row>
    <row r="45" spans="1:8" ht="12.75">
      <c r="A45" s="276"/>
      <c r="B45" s="252"/>
      <c r="C45" s="250"/>
      <c r="D45" s="281"/>
      <c r="E45" s="239"/>
      <c r="F45" s="281"/>
      <c r="G45" s="281"/>
      <c r="H45" s="250"/>
    </row>
    <row r="46" spans="1:8" ht="12.75">
      <c r="A46" s="265" t="s">
        <v>150</v>
      </c>
      <c r="B46" s="239">
        <f>B44*100/1000000</f>
        <v>2.8208</v>
      </c>
      <c r="C46" s="250"/>
      <c r="D46" s="290"/>
      <c r="E46" s="290"/>
      <c r="F46" s="290"/>
      <c r="G46" s="290"/>
      <c r="H46" s="282"/>
    </row>
    <row r="47" spans="1:8" ht="12.75">
      <c r="A47" s="265" t="s">
        <v>121</v>
      </c>
      <c r="B47" s="279">
        <f>(18+POWER(B44/1000,0.5))/(4+POWER(B44/1000,0.5))</f>
        <v>2.503578450807227</v>
      </c>
      <c r="C47" s="250"/>
      <c r="D47" s="290"/>
      <c r="E47" s="290"/>
      <c r="F47" s="290"/>
      <c r="G47" s="290"/>
      <c r="H47" s="282"/>
    </row>
    <row r="48" spans="1:8" ht="12.75">
      <c r="A48" s="265" t="s">
        <v>141</v>
      </c>
      <c r="B48" s="288">
        <f>B46*B47</f>
        <v>7.062094094037027</v>
      </c>
      <c r="C48" s="239">
        <f>B48*1000000/(7.48*24*60*60)</f>
        <v>10.927433176800212</v>
      </c>
      <c r="D48" s="188" t="s">
        <v>109</v>
      </c>
      <c r="E48" s="290"/>
      <c r="F48" s="290"/>
      <c r="G48" s="290"/>
      <c r="H48" s="282"/>
    </row>
    <row r="49" spans="1:8" ht="12.75">
      <c r="A49" s="265" t="s">
        <v>105</v>
      </c>
      <c r="B49" s="280">
        <v>0</v>
      </c>
      <c r="C49" s="239">
        <f>B49*1000000/(7.48*24*60*60)</f>
        <v>0</v>
      </c>
      <c r="D49" s="188" t="s">
        <v>109</v>
      </c>
      <c r="E49" s="290"/>
      <c r="F49" s="290"/>
      <c r="G49" s="290"/>
      <c r="H49" s="282"/>
    </row>
    <row r="50" spans="1:8" ht="12.75">
      <c r="A50" s="265" t="s">
        <v>123</v>
      </c>
      <c r="B50" s="288">
        <f>SUM(B48:B49)</f>
        <v>7.062094094037027</v>
      </c>
      <c r="C50" s="239">
        <f>B50*1000000/(7.48*24*60*60)</f>
        <v>10.927433176800212</v>
      </c>
      <c r="D50" s="188" t="s">
        <v>109</v>
      </c>
      <c r="E50" s="290"/>
      <c r="F50" s="290"/>
      <c r="G50" s="290"/>
      <c r="H50" s="282"/>
    </row>
    <row r="51" spans="2:8" ht="12.75">
      <c r="B51" s="291"/>
      <c r="C51" s="250"/>
      <c r="D51" s="290"/>
      <c r="E51" s="290"/>
      <c r="F51" s="290"/>
      <c r="G51" s="290"/>
      <c r="H51" s="282"/>
    </row>
    <row r="52" spans="1:8" ht="14.25">
      <c r="A52" s="88"/>
      <c r="B52" s="88"/>
      <c r="C52" s="646"/>
      <c r="D52" s="292"/>
      <c r="E52" s="292"/>
      <c r="F52" s="292"/>
      <c r="G52" s="292"/>
      <c r="H52" s="647"/>
    </row>
    <row r="53" spans="3:8" ht="12.75">
      <c r="C53" s="646"/>
      <c r="D53" s="267"/>
      <c r="E53" s="267"/>
      <c r="F53" s="267"/>
      <c r="G53" s="267"/>
      <c r="H53" s="271"/>
    </row>
    <row r="56" ht="15">
      <c r="A56" s="13"/>
    </row>
    <row r="68" spans="3:8" s="589" customFormat="1" ht="12.75">
      <c r="C68" s="624"/>
      <c r="H68" s="624"/>
    </row>
  </sheetData>
  <sheetProtection/>
  <printOptions/>
  <pageMargins left="0.42" right="0.37" top="0.56" bottom="0.93" header="0.61" footer="0.47"/>
  <pageSetup fitToHeight="1" fitToWidth="1" horizontalDpi="600" verticalDpi="600" orientation="portrait" scale="97" r:id="rId1"/>
  <headerFooter alignWithMargins="0">
    <oddFooter>&amp;L&amp;8Revised:                            6/01/2012
App.by OSG Tech. Comm.  &amp;CPage 3 of 5 Pages</oddFooter>
  </headerFooter>
  <rowBreaks count="1" manualBreakCount="1">
    <brk id="81"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H40"/>
  <sheetViews>
    <sheetView view="pageLayout" zoomScale="0" zoomScaleSheetLayoutView="100" zoomScalePageLayoutView="0" workbookViewId="0" topLeftCell="A1">
      <selection activeCell="G28" sqref="G28"/>
      <selection activeCell="A1" sqref="A1"/>
    </sheetView>
  </sheetViews>
  <sheetFormatPr defaultColWidth="9.140625" defaultRowHeight="12.75"/>
  <cols>
    <col min="1" max="1" width="29.421875" style="0" customWidth="1"/>
    <col min="2" max="3" width="9.57421875" style="0" customWidth="1"/>
    <col min="4" max="4" width="10.140625" style="0" customWidth="1"/>
    <col min="5" max="5" width="9.421875" style="0" customWidth="1"/>
    <col min="6" max="6" width="11.421875" style="0" customWidth="1"/>
    <col min="7" max="7" width="8.00390625" style="0" customWidth="1"/>
    <col min="8" max="8" width="10.8515625" style="0" customWidth="1"/>
  </cols>
  <sheetData>
    <row r="1" ht="21.75">
      <c r="A1" s="8" t="s">
        <v>99</v>
      </c>
    </row>
    <row r="2" ht="21.75">
      <c r="A2" s="8" t="s">
        <v>1</v>
      </c>
    </row>
    <row r="3" ht="21.75">
      <c r="A3" s="8" t="s">
        <v>2</v>
      </c>
    </row>
    <row r="4" ht="21.75">
      <c r="A4" s="8" t="s">
        <v>100</v>
      </c>
    </row>
    <row r="6" spans="1:8" s="88" customFormat="1" ht="14.25">
      <c r="A6" s="292" t="s">
        <v>151</v>
      </c>
      <c r="B6" s="292"/>
      <c r="C6" s="292"/>
      <c r="D6" s="292"/>
      <c r="E6" s="292"/>
      <c r="F6" s="292"/>
      <c r="G6" s="292"/>
      <c r="H6" s="292"/>
    </row>
    <row r="7" spans="1:8" s="88" customFormat="1" ht="42.75">
      <c r="A7" s="292"/>
      <c r="B7" s="293" t="s">
        <v>125</v>
      </c>
      <c r="C7" s="293" t="s">
        <v>133</v>
      </c>
      <c r="D7" s="293" t="s">
        <v>104</v>
      </c>
      <c r="E7" s="293" t="s">
        <v>105</v>
      </c>
      <c r="F7" s="658" t="s">
        <v>152</v>
      </c>
      <c r="G7" s="658"/>
      <c r="H7" s="293" t="s">
        <v>108</v>
      </c>
    </row>
    <row r="8" spans="1:8" s="88" customFormat="1" ht="14.25">
      <c r="A8" s="292"/>
      <c r="B8" s="292"/>
      <c r="C8" s="292"/>
      <c r="D8" s="294" t="s">
        <v>24</v>
      </c>
      <c r="E8" s="294" t="s">
        <v>24</v>
      </c>
      <c r="F8" s="294" t="s">
        <v>24</v>
      </c>
      <c r="G8" s="292" t="s">
        <v>109</v>
      </c>
      <c r="H8" s="292"/>
    </row>
    <row r="9" spans="1:8" s="88" customFormat="1" ht="14.25">
      <c r="A9" s="283" t="s">
        <v>8</v>
      </c>
      <c r="B9" s="295">
        <f>'Exhibit 3-2'!B9</f>
        <v>1691</v>
      </c>
      <c r="C9" s="296">
        <f aca="true" t="shared" si="0" ref="C9:C30">B9/$B$31</f>
        <v>0.011185859908846156</v>
      </c>
      <c r="D9" s="297">
        <f aca="true" t="shared" si="1" ref="D9:D30">C9*$B$35</f>
        <v>0.31438166303103554</v>
      </c>
      <c r="E9" s="298">
        <v>0</v>
      </c>
      <c r="F9" s="299">
        <f>E9+D9</f>
        <v>0.31438166303103554</v>
      </c>
      <c r="G9" s="299">
        <f aca="true" t="shared" si="2" ref="G9:G30">F9*1000000/(7.48*24*60*60)</f>
        <v>0.48645409832243325</v>
      </c>
      <c r="H9" s="300">
        <f aca="true" t="shared" si="3" ref="H9:H30">G9/$C$37</f>
        <v>0.009743351784463661</v>
      </c>
    </row>
    <row r="10" spans="1:8" s="88" customFormat="1" ht="14.25">
      <c r="A10" s="283" t="s">
        <v>110</v>
      </c>
      <c r="B10" s="295">
        <f>'Exhibit 3-2'!B10</f>
        <v>2997</v>
      </c>
      <c r="C10" s="296">
        <f t="shared" si="0"/>
        <v>0.019824968744418647</v>
      </c>
      <c r="D10" s="297">
        <f t="shared" si="1"/>
        <v>0.5571861881159158</v>
      </c>
      <c r="E10" s="298">
        <v>0</v>
      </c>
      <c r="F10" s="299">
        <f aca="true" t="shared" si="4" ref="F10:F30">E10+D10</f>
        <v>0.5571861881159158</v>
      </c>
      <c r="G10" s="299">
        <f t="shared" si="2"/>
        <v>0.8621543067252113</v>
      </c>
      <c r="H10" s="300">
        <f t="shared" si="3"/>
        <v>0.017268376876426725</v>
      </c>
    </row>
    <row r="11" spans="1:8" s="88" customFormat="1" ht="14.25">
      <c r="A11" s="283" t="s">
        <v>418</v>
      </c>
      <c r="B11" s="544">
        <f>'Exhibit 3-1'!B11</f>
        <v>3120</v>
      </c>
      <c r="C11" s="296">
        <f t="shared" si="0"/>
        <v>0.02063860610029569</v>
      </c>
      <c r="D11" s="297">
        <f t="shared" si="1"/>
        <v>0.5800536893298823</v>
      </c>
      <c r="E11" s="298">
        <v>0</v>
      </c>
      <c r="F11" s="299">
        <f>E11+D11</f>
        <v>0.5800536893298823</v>
      </c>
      <c r="G11" s="299">
        <f t="shared" si="2"/>
        <v>0.8975380170112311</v>
      </c>
      <c r="H11" s="300">
        <f t="shared" si="3"/>
        <v>0.01797708904052432</v>
      </c>
    </row>
    <row r="12" spans="1:8" s="88" customFormat="1" ht="14.25">
      <c r="A12" s="283" t="s">
        <v>450</v>
      </c>
      <c r="B12" s="544">
        <f>'Exhibit 3-1'!B12</f>
        <v>412</v>
      </c>
      <c r="C12" s="296">
        <f t="shared" si="0"/>
        <v>0.0027253543952954562</v>
      </c>
      <c r="D12" s="297">
        <f t="shared" si="1"/>
        <v>0.07659683333458701</v>
      </c>
      <c r="E12" s="298">
        <v>0</v>
      </c>
      <c r="F12" s="299">
        <f>E12+D12</f>
        <v>0.07659683333458701</v>
      </c>
      <c r="G12" s="299">
        <f t="shared" si="2"/>
        <v>0.11852104583609846</v>
      </c>
      <c r="H12" s="300">
        <f t="shared" si="3"/>
        <v>0.0023738976553512882</v>
      </c>
    </row>
    <row r="13" spans="1:8" s="88" customFormat="1" ht="14.25">
      <c r="A13" s="283" t="s">
        <v>37</v>
      </c>
      <c r="B13" s="295">
        <f>'Exhibit 3-2'!B13</f>
        <v>516</v>
      </c>
      <c r="C13" s="296">
        <f t="shared" si="0"/>
        <v>0.003413307931971979</v>
      </c>
      <c r="D13" s="297">
        <f t="shared" si="1"/>
        <v>0.09593195631224975</v>
      </c>
      <c r="E13" s="298">
        <v>0</v>
      </c>
      <c r="F13" s="299">
        <f t="shared" si="4"/>
        <v>0.09593195631224975</v>
      </c>
      <c r="G13" s="299">
        <f t="shared" si="2"/>
        <v>0.1484389797364728</v>
      </c>
      <c r="H13" s="300">
        <f t="shared" si="3"/>
        <v>0.0029731339567020984</v>
      </c>
    </row>
    <row r="14" spans="1:8" s="88" customFormat="1" ht="14.25">
      <c r="A14" s="283" t="s">
        <v>130</v>
      </c>
      <c r="B14" s="295">
        <f>'Exhibit 3-2'!B14</f>
        <v>1308</v>
      </c>
      <c r="C14" s="296">
        <f t="shared" si="0"/>
        <v>0.008652338711277808</v>
      </c>
      <c r="D14" s="297">
        <f t="shared" si="1"/>
        <v>0.24317635437291218</v>
      </c>
      <c r="E14" s="298">
        <v>0</v>
      </c>
      <c r="F14" s="299">
        <f t="shared" si="4"/>
        <v>0.24317635437291218</v>
      </c>
      <c r="G14" s="299">
        <f t="shared" si="2"/>
        <v>0.37627555328547757</v>
      </c>
      <c r="H14" s="300">
        <f t="shared" si="3"/>
        <v>0.007536548866989041</v>
      </c>
    </row>
    <row r="15" spans="1:8" s="88" customFormat="1" ht="14.25">
      <c r="A15" s="283" t="s">
        <v>128</v>
      </c>
      <c r="B15" s="295">
        <f>'Exhibit 3-2'!B15</f>
        <v>121</v>
      </c>
      <c r="C15" s="296">
        <f t="shared" si="0"/>
        <v>0.0008004074801717238</v>
      </c>
      <c r="D15" s="297">
        <f t="shared" si="1"/>
        <v>0.022495671925934536</v>
      </c>
      <c r="E15" s="298">
        <v>0</v>
      </c>
      <c r="F15" s="299">
        <f t="shared" si="4"/>
        <v>0.022495671925934536</v>
      </c>
      <c r="G15" s="299">
        <f t="shared" si="2"/>
        <v>0.03480836540332018</v>
      </c>
      <c r="H15" s="300">
        <f t="shared" si="3"/>
        <v>0.0006971883890716162</v>
      </c>
    </row>
    <row r="16" spans="1:8" s="88" customFormat="1" ht="14.25">
      <c r="A16" s="283" t="s">
        <v>126</v>
      </c>
      <c r="B16" s="295">
        <f>'Exhibit 3-2'!B16</f>
        <v>73</v>
      </c>
      <c r="C16" s="296">
        <f t="shared" si="0"/>
        <v>0.00048289046324409785</v>
      </c>
      <c r="D16" s="297">
        <f t="shared" si="1"/>
        <v>0.013571769013167118</v>
      </c>
      <c r="E16" s="298">
        <v>0</v>
      </c>
      <c r="F16" s="299">
        <f t="shared" si="4"/>
        <v>0.013571769013167118</v>
      </c>
      <c r="G16" s="299">
        <f t="shared" si="2"/>
        <v>0.021000088218532005</v>
      </c>
      <c r="H16" s="300">
        <f t="shared" si="3"/>
        <v>0.00042061778844816513</v>
      </c>
    </row>
    <row r="17" spans="1:8" s="88" customFormat="1" ht="14.25">
      <c r="A17" s="283" t="s">
        <v>131</v>
      </c>
      <c r="B17" s="295">
        <f>'Exhibit 3-2'!B17</f>
        <v>868</v>
      </c>
      <c r="C17" s="296">
        <f t="shared" si="0"/>
        <v>0.005741766056107903</v>
      </c>
      <c r="D17" s="297">
        <f t="shared" si="1"/>
        <v>0.1613739110058775</v>
      </c>
      <c r="E17" s="298">
        <v>0</v>
      </c>
      <c r="F17" s="299">
        <f t="shared" si="4"/>
        <v>0.1613739110058775</v>
      </c>
      <c r="G17" s="299">
        <f t="shared" si="2"/>
        <v>0.24969967909158608</v>
      </c>
      <c r="H17" s="300">
        <f t="shared" si="3"/>
        <v>0.005001318361274073</v>
      </c>
    </row>
    <row r="18" spans="1:8" s="88" customFormat="1" ht="14.25">
      <c r="A18" s="301" t="s">
        <v>68</v>
      </c>
      <c r="B18" s="302">
        <f>'Exhibit 3-2'!B18</f>
        <v>3497</v>
      </c>
      <c r="C18" s="303">
        <f t="shared" si="0"/>
        <v>0.023132437670748084</v>
      </c>
      <c r="D18" s="304">
        <f t="shared" si="1"/>
        <v>0.6501435101239097</v>
      </c>
      <c r="E18" s="305">
        <v>0</v>
      </c>
      <c r="F18" s="306">
        <f t="shared" si="4"/>
        <v>0.6501435101239097</v>
      </c>
      <c r="G18" s="306">
        <f t="shared" si="2"/>
        <v>1.005990527400088</v>
      </c>
      <c r="H18" s="307">
        <f t="shared" si="3"/>
        <v>0.020149320632921006</v>
      </c>
    </row>
    <row r="19" spans="1:8" s="88" customFormat="1" ht="14.25">
      <c r="A19" s="283" t="s">
        <v>146</v>
      </c>
      <c r="B19" s="295">
        <f>'Exhibit 3-3'!B36</f>
        <v>7820</v>
      </c>
      <c r="C19" s="296">
        <f t="shared" si="0"/>
        <v>0.0517288140077924</v>
      </c>
      <c r="D19" s="297">
        <f t="shared" si="1"/>
        <v>1.4538525162050253</v>
      </c>
      <c r="E19" s="298">
        <v>0</v>
      </c>
      <c r="F19" s="299">
        <f t="shared" si="4"/>
        <v>1.4538525162050253</v>
      </c>
      <c r="G19" s="299">
        <f t="shared" si="2"/>
        <v>2.2495984913550724</v>
      </c>
      <c r="H19" s="300">
        <f t="shared" si="3"/>
        <v>0.045057960351570565</v>
      </c>
    </row>
    <row r="20" spans="1:8" s="88" customFormat="1" ht="14.25">
      <c r="A20" s="283" t="s">
        <v>147</v>
      </c>
      <c r="B20" s="295">
        <f>'Exhibit 3-3'!B37</f>
        <v>2649</v>
      </c>
      <c r="C20" s="296">
        <f t="shared" si="0"/>
        <v>0.01752297037169336</v>
      </c>
      <c r="D20" s="297">
        <f t="shared" si="1"/>
        <v>0.49248789199835197</v>
      </c>
      <c r="E20" s="298">
        <v>0</v>
      </c>
      <c r="F20" s="299">
        <f t="shared" si="4"/>
        <v>0.49248789199835197</v>
      </c>
      <c r="G20" s="299">
        <f t="shared" si="2"/>
        <v>0.762044297135497</v>
      </c>
      <c r="H20" s="300">
        <f t="shared" si="3"/>
        <v>0.015263240021906705</v>
      </c>
    </row>
    <row r="21" spans="1:8" s="88" customFormat="1" ht="14.25">
      <c r="A21" s="283" t="s">
        <v>137</v>
      </c>
      <c r="B21" s="295">
        <f>'Exhibit 3-3'!B38</f>
        <v>1676</v>
      </c>
      <c r="C21" s="296">
        <f t="shared" si="0"/>
        <v>0.011086635841056272</v>
      </c>
      <c r="D21" s="297">
        <f t="shared" si="1"/>
        <v>0.3115929433707957</v>
      </c>
      <c r="E21" s="298">
        <v>0</v>
      </c>
      <c r="F21" s="299">
        <f t="shared" si="4"/>
        <v>0.3115929433707957</v>
      </c>
      <c r="G21" s="299">
        <f t="shared" si="2"/>
        <v>0.4821390117021868</v>
      </c>
      <c r="H21" s="300">
        <f t="shared" si="3"/>
        <v>0.009656923471768832</v>
      </c>
    </row>
    <row r="22" spans="1:8" s="88" customFormat="1" ht="14.25">
      <c r="A22" s="283" t="s">
        <v>138</v>
      </c>
      <c r="B22" s="295">
        <f>'Exhibit 3-3'!B39</f>
        <v>6548</v>
      </c>
      <c r="C22" s="296">
        <f t="shared" si="0"/>
        <v>0.04331461305921031</v>
      </c>
      <c r="D22" s="297">
        <f t="shared" si="1"/>
        <v>1.2173690890166888</v>
      </c>
      <c r="E22" s="298">
        <v>0</v>
      </c>
      <c r="F22" s="299">
        <f t="shared" si="4"/>
        <v>1.2173690890166888</v>
      </c>
      <c r="G22" s="299">
        <f t="shared" si="2"/>
        <v>1.8836791459581859</v>
      </c>
      <c r="H22" s="300">
        <f t="shared" si="3"/>
        <v>0.03772883943504911</v>
      </c>
    </row>
    <row r="23" spans="1:8" s="88" customFormat="1" ht="14.25">
      <c r="A23" s="283" t="s">
        <v>143</v>
      </c>
      <c r="B23" s="295">
        <v>3190</v>
      </c>
      <c r="C23" s="296">
        <f t="shared" si="0"/>
        <v>0.02110165174998181</v>
      </c>
      <c r="D23" s="297">
        <f t="shared" si="1"/>
        <v>0.5930677144110014</v>
      </c>
      <c r="E23" s="298">
        <v>0</v>
      </c>
      <c r="F23" s="299">
        <f t="shared" si="4"/>
        <v>0.5930677144110014</v>
      </c>
      <c r="G23" s="299">
        <f t="shared" si="2"/>
        <v>0.9176750879057137</v>
      </c>
      <c r="H23" s="300">
        <f t="shared" si="3"/>
        <v>0.018380421166433517</v>
      </c>
    </row>
    <row r="24" spans="1:8" s="88" customFormat="1" ht="14.25">
      <c r="A24" s="283" t="s">
        <v>148</v>
      </c>
      <c r="B24" s="295">
        <f>'Exhibit 3-3'!B41</f>
        <v>660</v>
      </c>
      <c r="C24" s="296">
        <f t="shared" si="0"/>
        <v>0.004365858982754857</v>
      </c>
      <c r="D24" s="297">
        <f t="shared" si="1"/>
        <v>0.12270366505055201</v>
      </c>
      <c r="E24" s="298">
        <v>0</v>
      </c>
      <c r="F24" s="299">
        <f t="shared" si="4"/>
        <v>0.12270366505055201</v>
      </c>
      <c r="G24" s="299">
        <f t="shared" si="2"/>
        <v>0.18986381129083732</v>
      </c>
      <c r="H24" s="300">
        <f t="shared" si="3"/>
        <v>0.003802845758572452</v>
      </c>
    </row>
    <row r="25" spans="1:8" s="88" customFormat="1" ht="14.25">
      <c r="A25" s="301" t="s">
        <v>149</v>
      </c>
      <c r="B25" s="302">
        <f>'Exhibit 3-3'!B42</f>
        <v>972</v>
      </c>
      <c r="C25" s="303">
        <f t="shared" si="0"/>
        <v>0.006429719592784426</v>
      </c>
      <c r="D25" s="304">
        <f t="shared" si="1"/>
        <v>0.18070903398354024</v>
      </c>
      <c r="E25" s="305">
        <v>0</v>
      </c>
      <c r="F25" s="306">
        <f t="shared" si="4"/>
        <v>0.18070903398354024</v>
      </c>
      <c r="G25" s="306">
        <f t="shared" si="2"/>
        <v>0.2796176129919604</v>
      </c>
      <c r="H25" s="307">
        <f t="shared" si="3"/>
        <v>0.0056005546626248836</v>
      </c>
    </row>
    <row r="26" spans="1:8" s="88" customFormat="1" ht="14.25">
      <c r="A26" s="283" t="s">
        <v>153</v>
      </c>
      <c r="B26" s="295">
        <f>'Exhibit 1-New'!O41</f>
        <v>442</v>
      </c>
      <c r="C26" s="296">
        <f t="shared" si="0"/>
        <v>0.0029238025308752223</v>
      </c>
      <c r="D26" s="297">
        <f t="shared" si="1"/>
        <v>0.08217427265506665</v>
      </c>
      <c r="E26" s="298">
        <v>0</v>
      </c>
      <c r="F26" s="299">
        <f t="shared" si="4"/>
        <v>0.08217427265506665</v>
      </c>
      <c r="G26" s="299">
        <f t="shared" si="2"/>
        <v>0.12715121907659102</v>
      </c>
      <c r="H26" s="300">
        <f t="shared" si="3"/>
        <v>0.0025467542807409444</v>
      </c>
    </row>
    <row r="27" spans="1:8" s="88" customFormat="1" ht="14.25">
      <c r="A27" s="283" t="s">
        <v>154</v>
      </c>
      <c r="B27" s="295">
        <f>'Exhibit 1-New'!O35+'Exhibit 1-New'!O36+'Exhibit 1-New'!O38</f>
        <v>316</v>
      </c>
      <c r="C27" s="296">
        <f t="shared" si="0"/>
        <v>0.0020903203614402043</v>
      </c>
      <c r="D27" s="297">
        <f t="shared" si="1"/>
        <v>0.05874902750905218</v>
      </c>
      <c r="E27" s="298">
        <v>0</v>
      </c>
      <c r="F27" s="299">
        <f t="shared" si="4"/>
        <v>0.05874902750905218</v>
      </c>
      <c r="G27" s="299">
        <f t="shared" si="2"/>
        <v>0.0909044914665221</v>
      </c>
      <c r="H27" s="300">
        <f t="shared" si="3"/>
        <v>0.001820756454104386</v>
      </c>
    </row>
    <row r="28" spans="1:8" s="88" customFormat="1" ht="14.25">
      <c r="A28" s="283" t="s">
        <v>492</v>
      </c>
      <c r="B28" s="295">
        <f>'Exhibit 1-New'!O37</f>
        <v>481</v>
      </c>
      <c r="C28" s="296">
        <f t="shared" si="0"/>
        <v>0.0031817851071289185</v>
      </c>
      <c r="D28" s="297">
        <f t="shared" si="1"/>
        <v>0.08942494377169018</v>
      </c>
      <c r="E28" s="298">
        <v>0</v>
      </c>
      <c r="F28" s="299">
        <f t="shared" si="4"/>
        <v>0.08942494377169018</v>
      </c>
      <c r="G28" s="299">
        <f t="shared" si="2"/>
        <v>0.13837044428923143</v>
      </c>
      <c r="H28" s="300">
        <f t="shared" si="3"/>
        <v>0.002771467893747499</v>
      </c>
    </row>
    <row r="29" spans="1:8" s="88" customFormat="1" ht="14.25">
      <c r="A29" s="283" t="s">
        <v>451</v>
      </c>
      <c r="B29" s="544">
        <v>34</v>
      </c>
      <c r="C29" s="296">
        <f t="shared" si="0"/>
        <v>0.00022490788699040172</v>
      </c>
      <c r="D29" s="297">
        <f t="shared" si="1"/>
        <v>0.006321097896543589</v>
      </c>
      <c r="E29" s="298">
        <v>0</v>
      </c>
      <c r="F29" s="299">
        <f>E29+D29</f>
        <v>0.006321097896543589</v>
      </c>
      <c r="G29" s="299">
        <f t="shared" si="2"/>
        <v>0.00978086300589162</v>
      </c>
      <c r="H29" s="300">
        <f t="shared" si="3"/>
        <v>0.00019590417544161116</v>
      </c>
    </row>
    <row r="30" spans="1:8" s="88" customFormat="1" ht="14.25">
      <c r="A30" s="283" t="s">
        <v>44</v>
      </c>
      <c r="B30" s="308">
        <v>111782</v>
      </c>
      <c r="C30" s="309">
        <f t="shared" si="0"/>
        <v>0.7394309830459143</v>
      </c>
      <c r="D30" s="310">
        <f t="shared" si="1"/>
        <v>20.781910737395158</v>
      </c>
      <c r="E30" s="311">
        <v>4.161</v>
      </c>
      <c r="F30" s="312">
        <f t="shared" si="4"/>
        <v>24.94291073739516</v>
      </c>
      <c r="G30" s="312">
        <f t="shared" si="2"/>
        <v>38.59506637668839</v>
      </c>
      <c r="H30" s="313">
        <f t="shared" si="3"/>
        <v>0.7730334889758677</v>
      </c>
    </row>
    <row r="31" spans="1:8" s="88" customFormat="1" ht="14.25">
      <c r="A31" s="314" t="s">
        <v>119</v>
      </c>
      <c r="B31" s="545">
        <f>SUM(B9:B30)</f>
        <v>151173</v>
      </c>
      <c r="C31" s="546">
        <f>SUM(C9:C30)</f>
        <v>1</v>
      </c>
      <c r="D31" s="547">
        <f>SUM(D9:D30)</f>
        <v>28.10527447982894</v>
      </c>
      <c r="E31" s="315">
        <v>4.161</v>
      </c>
      <c r="F31" s="547">
        <f>SUM(F9:F30)</f>
        <v>32.266274479828944</v>
      </c>
      <c r="G31" s="547">
        <f>SUM(G9:G30)</f>
        <v>49.92677151389654</v>
      </c>
      <c r="H31" s="546">
        <f>SUM(H9:H30)</f>
        <v>1.0000000000000002</v>
      </c>
    </row>
    <row r="32" spans="1:8" s="88" customFormat="1" ht="14.25">
      <c r="A32" s="314"/>
      <c r="B32" s="295"/>
      <c r="C32" s="298"/>
      <c r="D32" s="298"/>
      <c r="E32" s="298"/>
      <c r="F32" s="298"/>
      <c r="G32" s="298"/>
      <c r="H32" s="298"/>
    </row>
    <row r="33" spans="1:8" s="88" customFormat="1" ht="14.25">
      <c r="A33" s="283" t="s">
        <v>140</v>
      </c>
      <c r="B33" s="297">
        <f>B31*100/1000000</f>
        <v>15.1173</v>
      </c>
      <c r="C33" s="298"/>
      <c r="D33" s="292"/>
      <c r="E33" s="292"/>
      <c r="F33" s="292"/>
      <c r="G33" s="292"/>
      <c r="H33" s="292"/>
    </row>
    <row r="34" spans="1:8" s="88" customFormat="1" ht="14.25">
      <c r="A34" s="283" t="s">
        <v>121</v>
      </c>
      <c r="B34" s="312">
        <f>(18+POWER(B31/1000,0.5))/(4+POWER(B31/1000,0.5))</f>
        <v>1.859146440159879</v>
      </c>
      <c r="C34" s="298"/>
      <c r="D34" s="292"/>
      <c r="E34" s="292"/>
      <c r="F34" s="292"/>
      <c r="G34" s="292"/>
      <c r="H34" s="292"/>
    </row>
    <row r="35" spans="1:8" s="88" customFormat="1" ht="14.25">
      <c r="A35" s="283" t="s">
        <v>122</v>
      </c>
      <c r="B35" s="548">
        <f>B34*B33</f>
        <v>28.10527447982894</v>
      </c>
      <c r="C35" s="297">
        <f>B35*1000000/(7.48*24*60*60)</f>
        <v>43.48830597616629</v>
      </c>
      <c r="D35" s="292" t="s">
        <v>109</v>
      </c>
      <c r="E35" s="292"/>
      <c r="F35" s="292"/>
      <c r="G35" s="292"/>
      <c r="H35" s="292"/>
    </row>
    <row r="36" spans="1:8" s="88" customFormat="1" ht="14.25">
      <c r="A36" s="283" t="s">
        <v>105</v>
      </c>
      <c r="B36" s="549">
        <v>4.161</v>
      </c>
      <c r="C36" s="297">
        <f>B36*1000000/(7.48*24*60*60)</f>
        <v>6.438465537730243</v>
      </c>
      <c r="D36" s="292" t="s">
        <v>109</v>
      </c>
      <c r="E36" s="292"/>
      <c r="F36" s="292"/>
      <c r="G36" s="292"/>
      <c r="H36" s="292"/>
    </row>
    <row r="37" spans="1:8" s="88" customFormat="1" ht="14.25">
      <c r="A37" s="283" t="s">
        <v>123</v>
      </c>
      <c r="B37" s="548">
        <f>SUM(B35:B36)</f>
        <v>32.26627447982894</v>
      </c>
      <c r="C37" s="297">
        <f>B37*1000000/(7.48*24*60*60)</f>
        <v>49.926771513896526</v>
      </c>
      <c r="D37" s="292" t="s">
        <v>109</v>
      </c>
      <c r="E37" s="292"/>
      <c r="F37" s="292"/>
      <c r="G37" s="292"/>
      <c r="H37" s="292"/>
    </row>
    <row r="39" spans="1:8" ht="14.25">
      <c r="A39" s="88"/>
      <c r="B39" s="88"/>
      <c r="C39" s="539"/>
      <c r="D39" s="292"/>
      <c r="E39" s="292"/>
      <c r="F39" s="292"/>
      <c r="G39" s="292"/>
      <c r="H39" s="292"/>
    </row>
    <row r="40" spans="3:8" ht="12.75">
      <c r="C40" s="539"/>
      <c r="D40" s="267"/>
      <c r="E40" s="267"/>
      <c r="F40" s="267"/>
      <c r="G40" s="267"/>
      <c r="H40" s="267"/>
    </row>
  </sheetData>
  <sheetProtection/>
  <mergeCells count="1">
    <mergeCell ref="F7:G7"/>
  </mergeCells>
  <printOptions/>
  <pageMargins left="0.51" right="0.34" top="0.75" bottom="0.75" header="0.3" footer="0.3"/>
  <pageSetup fitToHeight="1" fitToWidth="1" horizontalDpi="600" verticalDpi="600" orientation="portrait" r:id="rId1"/>
  <headerFooter alignWithMargins="0">
    <oddFooter>&amp;L&amp;8Revised:                             6/1/2012
App.by OSG Tech. Comm. &amp;10 &amp;CPage 4 of 5</oddFooter>
  </headerFooter>
  <rowBreaks count="1" manualBreakCount="1">
    <brk id="80"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H39"/>
  <sheetViews>
    <sheetView view="pageLayout" zoomScale="0" zoomScaleSheetLayoutView="100" zoomScalePageLayoutView="0" workbookViewId="0" topLeftCell="A1">
      <selection activeCell="G28" sqref="G28"/>
      <selection activeCell="A1" sqref="A1"/>
    </sheetView>
  </sheetViews>
  <sheetFormatPr defaultColWidth="9.140625" defaultRowHeight="12.75"/>
  <cols>
    <col min="1" max="1" width="25.57421875" style="0" customWidth="1"/>
    <col min="2" max="2" width="9.8515625" style="0" customWidth="1"/>
    <col min="3" max="3" width="10.8515625" style="0" customWidth="1"/>
    <col min="4" max="4" width="11.140625" style="0" bestFit="1" customWidth="1"/>
    <col min="5" max="5" width="10.00390625" style="0" customWidth="1"/>
    <col min="6" max="6" width="10.140625" style="0" customWidth="1"/>
    <col min="7" max="7" width="9.421875" style="0" customWidth="1"/>
    <col min="8" max="8" width="11.00390625" style="0" customWidth="1"/>
  </cols>
  <sheetData>
    <row r="1" spans="1:8" ht="21.75">
      <c r="A1" s="8" t="s">
        <v>99</v>
      </c>
      <c r="E1" s="292"/>
      <c r="F1" s="292"/>
      <c r="G1" s="292"/>
      <c r="H1" s="292"/>
    </row>
    <row r="2" ht="21.75">
      <c r="A2" s="8" t="s">
        <v>1</v>
      </c>
    </row>
    <row r="3" ht="21.75">
      <c r="A3" s="8" t="s">
        <v>2</v>
      </c>
    </row>
    <row r="4" ht="21.75">
      <c r="A4" s="8" t="s">
        <v>100</v>
      </c>
    </row>
    <row r="6" ht="12.75">
      <c r="A6" t="s">
        <v>493</v>
      </c>
    </row>
    <row r="8" spans="1:8" ht="12.75">
      <c r="A8" s="328"/>
      <c r="B8" s="662" t="s">
        <v>155</v>
      </c>
      <c r="C8" s="663"/>
      <c r="D8" s="664"/>
      <c r="E8" s="659" t="s">
        <v>156</v>
      </c>
      <c r="F8" s="660"/>
      <c r="G8" s="661"/>
      <c r="H8" s="329" t="s">
        <v>157</v>
      </c>
    </row>
    <row r="9" spans="1:8" ht="12.75">
      <c r="A9" s="316"/>
      <c r="B9" s="207" t="s">
        <v>158</v>
      </c>
      <c r="C9" s="330"/>
      <c r="D9" s="331" t="s">
        <v>159</v>
      </c>
      <c r="E9" s="332"/>
      <c r="F9" s="330" t="s">
        <v>160</v>
      </c>
      <c r="G9" s="331"/>
      <c r="H9" s="333"/>
    </row>
    <row r="10" spans="1:8" ht="12.75">
      <c r="A10" s="316"/>
      <c r="B10" s="334" t="s">
        <v>161</v>
      </c>
      <c r="C10" s="335" t="s">
        <v>162</v>
      </c>
      <c r="D10" s="336" t="s">
        <v>163</v>
      </c>
      <c r="E10" s="334" t="s">
        <v>164</v>
      </c>
      <c r="F10" s="208" t="s">
        <v>165</v>
      </c>
      <c r="G10" s="336" t="s">
        <v>166</v>
      </c>
      <c r="H10" s="337" t="s">
        <v>157</v>
      </c>
    </row>
    <row r="11" spans="1:8" ht="12.75">
      <c r="A11" s="316" t="s">
        <v>167</v>
      </c>
      <c r="B11" s="317">
        <v>6.78</v>
      </c>
      <c r="C11" s="318">
        <v>23.55</v>
      </c>
      <c r="D11" s="319">
        <v>18.86</v>
      </c>
      <c r="E11" s="317">
        <v>16.38</v>
      </c>
      <c r="F11" s="318">
        <v>8.08</v>
      </c>
      <c r="G11" s="319">
        <v>17.13</v>
      </c>
      <c r="H11" s="320">
        <v>40.61</v>
      </c>
    </row>
    <row r="12" spans="1:8" ht="12.75">
      <c r="A12" s="316" t="s">
        <v>168</v>
      </c>
      <c r="B12" s="322">
        <f aca="true" t="shared" si="0" ref="B12:H12">B33</f>
        <v>10.998328471393222</v>
      </c>
      <c r="C12" s="239">
        <f t="shared" si="0"/>
        <v>11.07679918195761</v>
      </c>
      <c r="D12" s="239">
        <f t="shared" si="0"/>
        <v>19.539592131507675</v>
      </c>
      <c r="E12" s="322">
        <f t="shared" si="0"/>
        <v>7.147403096592496</v>
      </c>
      <c r="F12" s="239">
        <f t="shared" si="0"/>
        <v>3.49123225886027</v>
      </c>
      <c r="G12" s="338">
        <f t="shared" si="0"/>
        <v>10.92743317680021</v>
      </c>
      <c r="H12" s="323">
        <f t="shared" si="0"/>
        <v>49.92677151389653</v>
      </c>
    </row>
    <row r="13" spans="1:8" ht="12.75">
      <c r="A13" s="339" t="s">
        <v>169</v>
      </c>
      <c r="B13" s="340">
        <f aca="true" t="shared" si="1" ref="B13:H13">B12/B11</f>
        <v>1.6221723409134545</v>
      </c>
      <c r="C13" s="210">
        <f t="shared" si="1"/>
        <v>0.47035240687718083</v>
      </c>
      <c r="D13" s="210">
        <f t="shared" si="1"/>
        <v>1.0360335170470665</v>
      </c>
      <c r="E13" s="211">
        <f t="shared" si="1"/>
        <v>0.4363493953963673</v>
      </c>
      <c r="F13" s="210">
        <f t="shared" si="1"/>
        <v>0.43208320035399383</v>
      </c>
      <c r="G13" s="212">
        <f t="shared" si="1"/>
        <v>0.6379120360070176</v>
      </c>
      <c r="H13" s="213">
        <f t="shared" si="1"/>
        <v>1.2294206233414562</v>
      </c>
    </row>
    <row r="14" spans="1:8" ht="12.75">
      <c r="A14" s="321" t="s">
        <v>8</v>
      </c>
      <c r="B14" s="322">
        <f>'Exhibit 3-1'!G9</f>
        <v>0.6541972438399499</v>
      </c>
      <c r="C14" s="322"/>
      <c r="D14" s="322">
        <f>'Exhibit 3-2'!G9</f>
        <v>0.5786289738609088</v>
      </c>
      <c r="E14" s="322"/>
      <c r="F14" s="322"/>
      <c r="G14" s="322"/>
      <c r="H14" s="323">
        <f>'Exhibit 3-4'!G9</f>
        <v>0.48645409832243325</v>
      </c>
    </row>
    <row r="15" spans="1:8" ht="12.75">
      <c r="A15" s="321" t="s">
        <v>110</v>
      </c>
      <c r="B15" s="322">
        <f>'Exhibit 3-1'!G10</f>
        <v>1.1594495208683206</v>
      </c>
      <c r="C15" s="322"/>
      <c r="D15" s="322">
        <f>'Exhibit 3-2'!G10</f>
        <v>1.0255180571621194</v>
      </c>
      <c r="E15" s="322"/>
      <c r="F15" s="322"/>
      <c r="G15" s="322"/>
      <c r="H15" s="323">
        <f>'Exhibit 3-4'!G10</f>
        <v>0.8621543067252113</v>
      </c>
    </row>
    <row r="16" spans="1:8" ht="12.75">
      <c r="A16" s="321" t="s">
        <v>418</v>
      </c>
      <c r="B16" s="322">
        <f>'Exhibit 3-1'!G11</f>
        <v>1.207034536239293</v>
      </c>
      <c r="C16" s="322"/>
      <c r="D16" s="322">
        <f>'Exhibit 3-2'!G11</f>
        <v>1.0676063858344387</v>
      </c>
      <c r="E16" s="322"/>
      <c r="F16" s="322"/>
      <c r="G16" s="322"/>
      <c r="H16" s="323">
        <f>'Exhibit 3-4'!G11</f>
        <v>0.8975380170112311</v>
      </c>
    </row>
    <row r="17" spans="1:8" ht="12.75">
      <c r="A17" s="321" t="s">
        <v>450</v>
      </c>
      <c r="B17" s="322">
        <f>'Exhibit 3-1'!G12</f>
        <v>0.15939045799057328</v>
      </c>
      <c r="C17" s="322"/>
      <c r="D17" s="322">
        <f>'Exhibit 3-2'!G12</f>
        <v>0.14097879197557334</v>
      </c>
      <c r="E17" s="322"/>
      <c r="F17" s="322"/>
      <c r="G17" s="322"/>
      <c r="H17" s="323">
        <f>'Exhibit 3-4'!G12</f>
        <v>0.11852104583609846</v>
      </c>
    </row>
    <row r="18" spans="1:8" ht="12.75">
      <c r="A18" s="321" t="s">
        <v>37</v>
      </c>
      <c r="B18" s="322">
        <f>'Exhibit 3-1'!G13</f>
        <v>0.19962494253188304</v>
      </c>
      <c r="C18" s="322"/>
      <c r="D18" s="322">
        <f>'Exhibit 3-2'!G13</f>
        <v>0.17656567150338795</v>
      </c>
      <c r="E18" s="322"/>
      <c r="F18" s="322"/>
      <c r="G18" s="322"/>
      <c r="H18" s="323">
        <f>'Exhibit 3-4'!G13</f>
        <v>0.1484389797364728</v>
      </c>
    </row>
    <row r="19" spans="1:8" ht="12.75">
      <c r="A19" s="321" t="s">
        <v>130</v>
      </c>
      <c r="B19" s="322">
        <f>'Exhibit 3-1'!G14</f>
        <v>0.47971885414638554</v>
      </c>
      <c r="C19" s="322">
        <f>'Exhibit 3-1'!G34</f>
        <v>0.026268478216262724</v>
      </c>
      <c r="D19" s="322">
        <f>'Exhibit 3-2'!G14</f>
        <v>0.44757344636905316</v>
      </c>
      <c r="E19" s="322"/>
      <c r="F19" s="322"/>
      <c r="G19" s="322"/>
      <c r="H19" s="323">
        <f>'Exhibit 3-4'!G14</f>
        <v>0.37627555328547757</v>
      </c>
    </row>
    <row r="20" spans="1:8" ht="12.75">
      <c r="A20" s="321" t="s">
        <v>143</v>
      </c>
      <c r="B20" s="322"/>
      <c r="C20" s="322"/>
      <c r="D20" s="322"/>
      <c r="E20" s="322"/>
      <c r="F20" s="322">
        <f>'Exhibit 3-3'!G23</f>
        <v>1.0108085184790514</v>
      </c>
      <c r="G20" s="322">
        <f>'Exhibit 3-3'!G40</f>
        <v>0.8193250556201238</v>
      </c>
      <c r="H20" s="323">
        <f>'Exhibit 3-4'!G23</f>
        <v>0.9176750879057137</v>
      </c>
    </row>
    <row r="21" spans="1:8" ht="12.75">
      <c r="A21" s="321" t="s">
        <v>170</v>
      </c>
      <c r="B21" s="322"/>
      <c r="C21" s="322">
        <f>'Exhibit 3-1'!G35</f>
        <v>0.04674243917893808</v>
      </c>
      <c r="D21" s="322">
        <f>'Exhibit 3-2'!G15</f>
        <v>0.04140396560447663</v>
      </c>
      <c r="E21" s="322"/>
      <c r="F21" s="322"/>
      <c r="G21" s="322"/>
      <c r="H21" s="323">
        <f>'Exhibit 3-4'!G15+'Exhibit 3-4'!G27</f>
        <v>0.1257128568698423</v>
      </c>
    </row>
    <row r="22" spans="1:8" ht="12.75">
      <c r="A22" s="321" t="s">
        <v>463</v>
      </c>
      <c r="B22" s="322"/>
      <c r="C22" s="322"/>
      <c r="D22" s="322"/>
      <c r="E22" s="322"/>
      <c r="F22" s="322"/>
      <c r="G22" s="322"/>
      <c r="H22" s="323">
        <f>'Exhibit 3-4'!G29</f>
        <v>0.00978086300589162</v>
      </c>
    </row>
    <row r="23" spans="1:8" ht="12.75">
      <c r="A23" s="321" t="s">
        <v>139</v>
      </c>
      <c r="B23" s="322"/>
      <c r="C23" s="322"/>
      <c r="D23" s="322"/>
      <c r="E23" s="322">
        <f>'Exhibit 3-3'!G12</f>
        <v>0.27825671230761795</v>
      </c>
      <c r="F23" s="322">
        <f>'Exhibit 3-3'!G24</f>
        <v>0.46454178721590456</v>
      </c>
      <c r="G23" s="322">
        <f>'Exhibit 3-3'!G41+'Exhibit 3-3'!G42</f>
        <v>0.6322167805068757</v>
      </c>
      <c r="H23" s="323">
        <f>'Exhibit 3-4'!G24+'Exhibit 3-4'!G25+'Exhibit 3-4'!G28</f>
        <v>0.6078518685720291</v>
      </c>
    </row>
    <row r="24" spans="1:8" ht="12.75">
      <c r="A24" s="321" t="s">
        <v>153</v>
      </c>
      <c r="B24" s="209"/>
      <c r="C24" s="322"/>
      <c r="D24" s="322"/>
      <c r="E24" s="322"/>
      <c r="F24" s="322"/>
      <c r="G24" s="322"/>
      <c r="H24" s="323">
        <f>'Exhibit 3-4'!G26</f>
        <v>0.12715121907659102</v>
      </c>
    </row>
    <row r="25" spans="1:8" ht="12.75">
      <c r="A25" s="321" t="s">
        <v>171</v>
      </c>
      <c r="B25" s="322"/>
      <c r="C25" s="322">
        <f>'Exhibit 3-1'!G33</f>
        <v>0.028199983967458514</v>
      </c>
      <c r="D25" s="322">
        <f>'Exhibit 3-2'!G16</f>
        <v>0.024979251976254495</v>
      </c>
      <c r="E25" s="322"/>
      <c r="F25" s="322"/>
      <c r="G25" s="322"/>
      <c r="H25" s="323">
        <f>'Exhibit 3-4'!G16</f>
        <v>0.021000088218532005</v>
      </c>
    </row>
    <row r="26" spans="1:8" ht="12.75">
      <c r="A26" s="321" t="s">
        <v>131</v>
      </c>
      <c r="B26" s="322">
        <f>'Exhibit 3-1'!G17</f>
        <v>0.3358031979024699</v>
      </c>
      <c r="C26" s="322"/>
      <c r="D26" s="322">
        <f>'Exhibit 3-2'!G17</f>
        <v>0.2970135714436836</v>
      </c>
      <c r="E26" s="322"/>
      <c r="F26" s="322"/>
      <c r="G26" s="322"/>
      <c r="H26" s="323">
        <f>'Exhibit 3-4'!G17</f>
        <v>0.24969967909158608</v>
      </c>
    </row>
    <row r="27" spans="1:8" ht="12.75">
      <c r="A27" s="321" t="s">
        <v>68</v>
      </c>
      <c r="B27" s="322">
        <f>'Exhibit 3-1'!G18</f>
        <v>1.3528845427015406</v>
      </c>
      <c r="C27" s="322"/>
      <c r="D27" s="322">
        <f>'Exhibit 3-2'!G18</f>
        <v>1.1966088241227668</v>
      </c>
      <c r="E27" s="322"/>
      <c r="F27" s="322"/>
      <c r="G27" s="322"/>
      <c r="H27" s="323">
        <f>'Exhibit 3-4'!G18</f>
        <v>1.005990527400088</v>
      </c>
    </row>
    <row r="28" spans="1:8" ht="12.75">
      <c r="A28" s="321" t="s">
        <v>146</v>
      </c>
      <c r="B28" s="322"/>
      <c r="C28" s="322"/>
      <c r="D28" s="322"/>
      <c r="E28" s="322">
        <f>'Exhibit 3-3'!G9</f>
        <v>3.274997183644813</v>
      </c>
      <c r="F28" s="322"/>
      <c r="G28" s="322">
        <f>'Exhibit 3-3'!G36</f>
        <v>3.029372073262112</v>
      </c>
      <c r="H28" s="323">
        <f>'Exhibit 3-4'!G19</f>
        <v>2.2495984913550724</v>
      </c>
    </row>
    <row r="29" spans="1:8" ht="12.75">
      <c r="A29" s="321" t="s">
        <v>147</v>
      </c>
      <c r="B29" s="322"/>
      <c r="C29" s="322"/>
      <c r="D29" s="322"/>
      <c r="E29" s="322"/>
      <c r="F29" s="322"/>
      <c r="G29" s="322">
        <f>'Exhibit 3-3'!G37</f>
        <v>1.0261901051242117</v>
      </c>
      <c r="H29" s="323">
        <f>'Exhibit 3-4'!G20</f>
        <v>0.762044297135497</v>
      </c>
    </row>
    <row r="30" spans="1:8" ht="12.75">
      <c r="A30" s="321" t="s">
        <v>137</v>
      </c>
      <c r="B30" s="322"/>
      <c r="C30" s="322"/>
      <c r="D30" s="322"/>
      <c r="E30" s="322">
        <f>'Exhibit 3-3'!G10</f>
        <v>0.7066034088296481</v>
      </c>
      <c r="F30" s="322"/>
      <c r="G30" s="322">
        <f>'Exhibit 3-3'!G38</f>
        <v>0.6492618407656394</v>
      </c>
      <c r="H30" s="323">
        <f>'Exhibit 3-4'!G21</f>
        <v>0.4821390117021868</v>
      </c>
    </row>
    <row r="31" spans="1:8" ht="12.75">
      <c r="A31" s="321" t="s">
        <v>138</v>
      </c>
      <c r="B31" s="322"/>
      <c r="C31" s="322"/>
      <c r="D31" s="322"/>
      <c r="E31" s="322">
        <f>'Exhibit 3-3'!G11</f>
        <v>2.7606438669549735</v>
      </c>
      <c r="F31" s="322"/>
      <c r="G31" s="322">
        <f>'Exhibit 3-3'!G39</f>
        <v>2.536614876690577</v>
      </c>
      <c r="H31" s="323">
        <f>'Exhibit 3-4'!G22</f>
        <v>1.8836791459581859</v>
      </c>
    </row>
    <row r="32" spans="1:8" ht="12.75">
      <c r="A32" s="321" t="s">
        <v>44</v>
      </c>
      <c r="B32" s="324">
        <f>'Exhibit 3-1'!G19+'Exhibit 3-1'!G22+'Exhibit 3-1'!G15</f>
        <v>5.450225175172807</v>
      </c>
      <c r="C32" s="324">
        <f>'Exhibit 3-1'!G36</f>
        <v>10.97558828059495</v>
      </c>
      <c r="D32" s="324">
        <f>'Exhibit 3-2'!G19</f>
        <v>14.542715191655011</v>
      </c>
      <c r="E32" s="324">
        <f>'Exhibit 3-3'!G13</f>
        <v>0.12690192485544394</v>
      </c>
      <c r="F32" s="324">
        <f>'Exhibit 3-3'!G25</f>
        <v>2.015881953165314</v>
      </c>
      <c r="G32" s="324">
        <f>'Exhibit 3-3'!G43</f>
        <v>2.2344524448306733</v>
      </c>
      <c r="H32" s="324">
        <f>'Exhibit 3-4'!G30</f>
        <v>38.59506637668839</v>
      </c>
    </row>
    <row r="33" spans="1:8" ht="12.75">
      <c r="A33" s="325" t="s">
        <v>119</v>
      </c>
      <c r="B33" s="326">
        <f aca="true" t="shared" si="2" ref="B33:H33">SUM(B14:B32)</f>
        <v>10.998328471393222</v>
      </c>
      <c r="C33" s="327">
        <f t="shared" si="2"/>
        <v>11.07679918195761</v>
      </c>
      <c r="D33" s="327">
        <f t="shared" si="2"/>
        <v>19.539592131507675</v>
      </c>
      <c r="E33" s="327">
        <f t="shared" si="2"/>
        <v>7.147403096592496</v>
      </c>
      <c r="F33" s="327">
        <f t="shared" si="2"/>
        <v>3.49123225886027</v>
      </c>
      <c r="G33" s="327">
        <f t="shared" si="2"/>
        <v>10.92743317680021</v>
      </c>
      <c r="H33" s="327">
        <f t="shared" si="2"/>
        <v>49.92677151389653</v>
      </c>
    </row>
    <row r="35" spans="1:8" ht="14.25">
      <c r="A35" s="88"/>
      <c r="B35" s="297"/>
      <c r="C35" s="539"/>
      <c r="D35" s="292"/>
      <c r="E35" s="292"/>
      <c r="F35" s="292"/>
      <c r="G35" s="292"/>
      <c r="H35" s="292"/>
    </row>
    <row r="36" spans="3:8" ht="12.75">
      <c r="C36" s="539"/>
      <c r="D36" s="267"/>
      <c r="E36" s="267"/>
      <c r="F36" s="267"/>
      <c r="G36" s="267"/>
      <c r="H36" s="267"/>
    </row>
    <row r="39" ht="12.75">
      <c r="A39" s="550"/>
    </row>
  </sheetData>
  <sheetProtection/>
  <mergeCells count="2">
    <mergeCell ref="E8:G8"/>
    <mergeCell ref="B8:D8"/>
  </mergeCells>
  <printOptions/>
  <pageMargins left="0.45" right="0.36" top="0.75" bottom="0.75" header="0.3" footer="0.3"/>
  <pageSetup fitToHeight="1" fitToWidth="1" horizontalDpi="600" verticalDpi="600" orientation="portrait" r:id="rId1"/>
  <headerFooter alignWithMargins="0">
    <oddFooter>&amp;L&amp;8Revised:                             6/1/2012
App.by OSG Tech. Comm.  &amp;CPage 5 of 5
</oddFooter>
  </headerFooter>
  <rowBreaks count="1" manualBreakCount="1">
    <brk id="78"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AE68"/>
  <sheetViews>
    <sheetView view="pageLayout" zoomScale="0" zoomScaleSheetLayoutView="100" zoomScalePageLayoutView="0" workbookViewId="0" topLeftCell="A1">
      <selection activeCell="G28" sqref="G28"/>
      <selection activeCell="A1" sqref="A1"/>
    </sheetView>
  </sheetViews>
  <sheetFormatPr defaultColWidth="9.140625" defaultRowHeight="12.75"/>
  <cols>
    <col min="1" max="1" width="13.140625" style="0" customWidth="1"/>
    <col min="2" max="2" width="2.8515625" style="0" customWidth="1"/>
    <col min="3" max="3" width="4.140625" style="0" customWidth="1"/>
    <col min="4" max="4" width="4.8515625" style="0" customWidth="1"/>
    <col min="5" max="5" width="12.7109375" style="0" customWidth="1"/>
    <col min="6" max="6" width="5.00390625" style="0" customWidth="1"/>
    <col min="7" max="7" width="4.140625" style="0" customWidth="1"/>
    <col min="8" max="8" width="6.421875" style="0" customWidth="1"/>
    <col min="9" max="10" width="4.8515625" style="0" customWidth="1"/>
    <col min="11" max="11" width="4.28125" style="0" customWidth="1"/>
    <col min="12" max="12" width="5.7109375" style="0" customWidth="1"/>
    <col min="13" max="13" width="5.7109375" style="239" customWidth="1"/>
    <col min="14" max="29" width="5.7109375" style="0" customWidth="1"/>
    <col min="30" max="30" width="6.7109375" style="0" customWidth="1"/>
  </cols>
  <sheetData>
    <row r="1" spans="1:30" ht="14.25">
      <c r="A1" s="292" t="s">
        <v>172</v>
      </c>
      <c r="B1" s="267"/>
      <c r="C1" s="267"/>
      <c r="D1" s="267"/>
      <c r="E1" s="267"/>
      <c r="I1" s="88"/>
      <c r="K1" s="245"/>
      <c r="L1" s="245"/>
      <c r="M1" s="246"/>
      <c r="N1" s="245"/>
      <c r="O1" s="568"/>
      <c r="P1" s="245"/>
      <c r="T1" s="88"/>
      <c r="U1" s="88"/>
      <c r="V1" s="88"/>
      <c r="W1" s="88"/>
      <c r="X1" s="88"/>
      <c r="Y1" s="88"/>
      <c r="Z1" s="88"/>
      <c r="AA1" s="88"/>
      <c r="AB1" s="551"/>
      <c r="AC1" s="551"/>
      <c r="AD1" s="551"/>
    </row>
    <row r="2" spans="1:30" ht="14.25">
      <c r="A2" s="292" t="s">
        <v>1</v>
      </c>
      <c r="B2" s="267"/>
      <c r="C2" s="267"/>
      <c r="D2" s="267"/>
      <c r="E2" s="267"/>
      <c r="I2" s="88"/>
      <c r="K2" s="245"/>
      <c r="L2" s="245"/>
      <c r="M2" s="246"/>
      <c r="N2" s="245"/>
      <c r="O2" s="568"/>
      <c r="P2" s="245"/>
      <c r="AB2" s="551"/>
      <c r="AC2" s="551"/>
      <c r="AD2" s="551"/>
    </row>
    <row r="3" spans="1:16" ht="14.25">
      <c r="A3" s="292" t="s">
        <v>2</v>
      </c>
      <c r="B3" s="267"/>
      <c r="C3" s="267"/>
      <c r="D3" s="267"/>
      <c r="E3" s="267"/>
      <c r="I3" s="88"/>
      <c r="K3" s="245"/>
      <c r="L3" s="245"/>
      <c r="M3" s="246"/>
      <c r="N3" s="245"/>
      <c r="O3" s="568"/>
      <c r="P3" s="245"/>
    </row>
    <row r="4" spans="1:16" ht="14.25">
      <c r="A4" s="292" t="s">
        <v>173</v>
      </c>
      <c r="B4" s="267"/>
      <c r="C4" s="267"/>
      <c r="D4" s="267"/>
      <c r="E4" s="267"/>
      <c r="I4" s="88"/>
      <c r="K4" s="245"/>
      <c r="L4" s="245"/>
      <c r="M4" s="246"/>
      <c r="N4" s="245"/>
      <c r="O4" s="568"/>
      <c r="P4" s="245"/>
    </row>
    <row r="5" spans="1:16" ht="12.75">
      <c r="A5" s="22" t="s">
        <v>174</v>
      </c>
      <c r="I5" s="22"/>
      <c r="K5" s="245"/>
      <c r="L5" s="245"/>
      <c r="M5" s="246"/>
      <c r="N5" s="245"/>
      <c r="O5" s="568"/>
      <c r="P5" s="245"/>
    </row>
    <row r="6" spans="1:30" ht="12.75">
      <c r="A6" s="346"/>
      <c r="B6" s="563"/>
      <c r="C6" s="563"/>
      <c r="D6" s="563"/>
      <c r="E6" s="347"/>
      <c r="F6" s="562" t="s">
        <v>44</v>
      </c>
      <c r="G6" s="563"/>
      <c r="H6" s="563" t="s">
        <v>175</v>
      </c>
      <c r="I6" s="563"/>
      <c r="J6" s="347" t="s">
        <v>203</v>
      </c>
      <c r="K6" s="348" t="s">
        <v>204</v>
      </c>
      <c r="L6" s="667" t="s">
        <v>44</v>
      </c>
      <c r="M6" s="666"/>
      <c r="N6" s="665" t="s">
        <v>66</v>
      </c>
      <c r="O6" s="666"/>
      <c r="P6" s="668" t="s">
        <v>177</v>
      </c>
      <c r="Q6" s="668"/>
      <c r="R6" s="665" t="s">
        <v>51</v>
      </c>
      <c r="S6" s="666"/>
      <c r="T6" s="668" t="s">
        <v>206</v>
      </c>
      <c r="U6" s="668"/>
      <c r="V6" s="665" t="s">
        <v>68</v>
      </c>
      <c r="W6" s="666"/>
      <c r="X6" s="665" t="s">
        <v>65</v>
      </c>
      <c r="Y6" s="666"/>
      <c r="Z6" s="665" t="s">
        <v>207</v>
      </c>
      <c r="AA6" s="666"/>
      <c r="AB6" s="665" t="s">
        <v>208</v>
      </c>
      <c r="AC6" s="666"/>
      <c r="AD6" s="560" t="s">
        <v>7</v>
      </c>
    </row>
    <row r="7" spans="1:30" ht="12.75">
      <c r="A7" s="346" t="s">
        <v>179</v>
      </c>
      <c r="B7" s="563" t="s">
        <v>180</v>
      </c>
      <c r="C7" s="563" t="s">
        <v>181</v>
      </c>
      <c r="D7" s="563" t="s">
        <v>182</v>
      </c>
      <c r="E7" s="347" t="s">
        <v>183</v>
      </c>
      <c r="F7" s="562" t="s">
        <v>204</v>
      </c>
      <c r="G7" s="563" t="s">
        <v>201</v>
      </c>
      <c r="H7" s="563" t="s">
        <v>184</v>
      </c>
      <c r="I7" s="563" t="s">
        <v>185</v>
      </c>
      <c r="J7" s="347" t="s">
        <v>204</v>
      </c>
      <c r="K7" s="348" t="s">
        <v>199</v>
      </c>
      <c r="L7" s="562" t="s">
        <v>187</v>
      </c>
      <c r="M7" s="349" t="s">
        <v>200</v>
      </c>
      <c r="N7" s="560" t="s">
        <v>209</v>
      </c>
      <c r="O7" s="561" t="s">
        <v>200</v>
      </c>
      <c r="P7" s="563" t="s">
        <v>187</v>
      </c>
      <c r="Q7" s="563" t="s">
        <v>200</v>
      </c>
      <c r="R7" s="560" t="s">
        <v>187</v>
      </c>
      <c r="S7" s="561" t="s">
        <v>200</v>
      </c>
      <c r="T7" s="563" t="s">
        <v>187</v>
      </c>
      <c r="U7" s="563"/>
      <c r="V7" s="560" t="s">
        <v>187</v>
      </c>
      <c r="W7" s="561" t="s">
        <v>200</v>
      </c>
      <c r="X7" s="560" t="s">
        <v>187</v>
      </c>
      <c r="Y7" s="561" t="s">
        <v>200</v>
      </c>
      <c r="Z7" s="560" t="s">
        <v>187</v>
      </c>
      <c r="AA7" s="561" t="s">
        <v>200</v>
      </c>
      <c r="AB7" s="560" t="s">
        <v>187</v>
      </c>
      <c r="AC7" s="561" t="s">
        <v>200</v>
      </c>
      <c r="AD7" s="560" t="s">
        <v>187</v>
      </c>
    </row>
    <row r="8" spans="1:30" ht="13.5" thickBot="1">
      <c r="A8" s="350" t="s">
        <v>188</v>
      </c>
      <c r="B8" s="351" t="s">
        <v>189</v>
      </c>
      <c r="C8" s="351" t="s">
        <v>190</v>
      </c>
      <c r="D8" s="351" t="s">
        <v>202</v>
      </c>
      <c r="E8" s="352" t="s">
        <v>191</v>
      </c>
      <c r="F8" s="353" t="s">
        <v>191</v>
      </c>
      <c r="G8" s="351" t="s">
        <v>192</v>
      </c>
      <c r="H8" s="351" t="s">
        <v>193</v>
      </c>
      <c r="I8" s="351" t="s">
        <v>194</v>
      </c>
      <c r="J8" s="352" t="s">
        <v>191</v>
      </c>
      <c r="K8" s="353" t="s">
        <v>191</v>
      </c>
      <c r="L8" s="353"/>
      <c r="M8" s="354" t="s">
        <v>191</v>
      </c>
      <c r="N8" s="355"/>
      <c r="O8" s="356" t="s">
        <v>191</v>
      </c>
      <c r="P8" s="351"/>
      <c r="Q8" s="356" t="s">
        <v>191</v>
      </c>
      <c r="R8" s="355"/>
      <c r="S8" s="351" t="s">
        <v>191</v>
      </c>
      <c r="T8" s="355"/>
      <c r="U8" s="356" t="s">
        <v>191</v>
      </c>
      <c r="V8" s="355"/>
      <c r="W8" s="356" t="s">
        <v>191</v>
      </c>
      <c r="X8" s="355"/>
      <c r="Y8" s="356" t="s">
        <v>191</v>
      </c>
      <c r="Z8" s="355"/>
      <c r="AA8" s="356" t="s">
        <v>191</v>
      </c>
      <c r="AB8" s="357"/>
      <c r="AC8" s="356" t="s">
        <v>191</v>
      </c>
      <c r="AD8" s="355"/>
    </row>
    <row r="9" spans="1:30" ht="13.5" thickTop="1">
      <c r="A9" s="346" t="s">
        <v>195</v>
      </c>
      <c r="B9" s="563">
        <v>10</v>
      </c>
      <c r="C9" s="563">
        <v>419</v>
      </c>
      <c r="D9" s="358">
        <v>0.0031</v>
      </c>
      <c r="E9" s="359">
        <f>(1.486/0.013)*((3.14*($B9*$B9)/4)/144)*SQRT($D9)*POWER($B9/12/4,2/3)</f>
        <v>1.2192777363010674</v>
      </c>
      <c r="F9" s="562">
        <v>0.9</v>
      </c>
      <c r="G9" s="563">
        <v>1987</v>
      </c>
      <c r="H9" s="563">
        <v>645</v>
      </c>
      <c r="I9" s="360">
        <f>(18+SQRT(H9/1000))/(4+SQRT(H9/1000))</f>
        <v>3.9147727200946725</v>
      </c>
      <c r="J9" s="347">
        <f>H9*100*I9/(7.48*24*60*60)</f>
        <v>0.39070676193012593</v>
      </c>
      <c r="K9" s="348">
        <v>0.9</v>
      </c>
      <c r="L9" s="361">
        <v>629</v>
      </c>
      <c r="M9" s="349">
        <f>$I9*100*L9/(7.48*24*60*60)</f>
        <v>0.381014811246588</v>
      </c>
      <c r="N9" s="560"/>
      <c r="O9" s="561">
        <v>0</v>
      </c>
      <c r="P9" s="563">
        <v>16</v>
      </c>
      <c r="Q9" s="349">
        <f>$I9*100*P9/(7.48*24*60*60)</f>
        <v>0.009691950683538009</v>
      </c>
      <c r="R9" s="560"/>
      <c r="S9" s="561">
        <v>0</v>
      </c>
      <c r="T9" s="362"/>
      <c r="U9" s="563">
        <v>0</v>
      </c>
      <c r="V9" s="560"/>
      <c r="W9" s="561">
        <v>0</v>
      </c>
      <c r="X9" s="560"/>
      <c r="Y9" s="561">
        <v>0</v>
      </c>
      <c r="Z9" s="560"/>
      <c r="AA9" s="561">
        <v>0</v>
      </c>
      <c r="AB9" s="362"/>
      <c r="AC9" s="563">
        <v>0</v>
      </c>
      <c r="AD9" s="560">
        <f>L9+N9+P9+R9+T9+V9+X9+Z9+AB9</f>
        <v>645</v>
      </c>
    </row>
    <row r="10" spans="1:30" ht="12.75">
      <c r="A10" s="346"/>
      <c r="B10" s="563">
        <v>10</v>
      </c>
      <c r="C10" s="563">
        <v>346</v>
      </c>
      <c r="D10" s="358">
        <v>0.0031</v>
      </c>
      <c r="E10" s="359">
        <f aca="true" t="shared" si="0" ref="E10:E23">(1.486/0.013)*((3.14*($B10*$B10)/4)/144)*SQRT($D10)*POWER($B10/12/4,2/3)</f>
        <v>1.2192777363010674</v>
      </c>
      <c r="F10" s="562">
        <v>0.9</v>
      </c>
      <c r="G10" s="563">
        <v>1987</v>
      </c>
      <c r="H10" s="563">
        <v>645</v>
      </c>
      <c r="I10" s="360">
        <f aca="true" t="shared" si="1" ref="I10:I23">(18+SQRT(H10/1000))/(4+SQRT(H10/1000))</f>
        <v>3.9147727200946725</v>
      </c>
      <c r="J10" s="347">
        <f aca="true" t="shared" si="2" ref="J10:J23">H10:H10*100*I10/(7.48*24*60*60)</f>
        <v>0.39070676193012593</v>
      </c>
      <c r="K10" s="348">
        <v>0.9</v>
      </c>
      <c r="L10" s="361">
        <v>629</v>
      </c>
      <c r="M10" s="349">
        <f aca="true" t="shared" si="3" ref="M10:M21">I10*100*L10/(7.48*24*60*60)</f>
        <v>0.381014811246588</v>
      </c>
      <c r="N10" s="560"/>
      <c r="O10" s="561">
        <v>0</v>
      </c>
      <c r="P10" s="563">
        <v>16</v>
      </c>
      <c r="Q10" s="349">
        <f aca="true" t="shared" si="4" ref="Q10:Q21">$I10*100*P10/(7.48*24*60*60)</f>
        <v>0.009691950683538009</v>
      </c>
      <c r="R10" s="560"/>
      <c r="S10" s="561">
        <v>0</v>
      </c>
      <c r="T10" s="362"/>
      <c r="U10" s="563">
        <v>0</v>
      </c>
      <c r="V10" s="560"/>
      <c r="W10" s="561">
        <v>0</v>
      </c>
      <c r="X10" s="560"/>
      <c r="Y10" s="561">
        <v>0</v>
      </c>
      <c r="Z10" s="560"/>
      <c r="AA10" s="561">
        <v>0</v>
      </c>
      <c r="AB10" s="362"/>
      <c r="AC10" s="563">
        <v>0</v>
      </c>
      <c r="AD10" s="560">
        <f aca="true" t="shared" si="5" ref="AD10:AD23">L10+N10+P10+R10+T10+V10+X10+Z10+AB10</f>
        <v>645</v>
      </c>
    </row>
    <row r="11" spans="1:30" ht="12.75">
      <c r="A11" s="346"/>
      <c r="B11" s="563">
        <v>10</v>
      </c>
      <c r="C11" s="563">
        <v>352</v>
      </c>
      <c r="D11" s="358">
        <v>0.0045</v>
      </c>
      <c r="E11" s="359">
        <f t="shared" si="0"/>
        <v>1.4690211676462521</v>
      </c>
      <c r="F11" s="562">
        <v>0.9</v>
      </c>
      <c r="G11" s="563">
        <v>1987</v>
      </c>
      <c r="H11" s="563">
        <v>645</v>
      </c>
      <c r="I11" s="360">
        <f t="shared" si="1"/>
        <v>3.9147727200946725</v>
      </c>
      <c r="J11" s="347">
        <f t="shared" si="2"/>
        <v>0.39070676193012593</v>
      </c>
      <c r="K11" s="348">
        <v>0.9</v>
      </c>
      <c r="L11" s="361">
        <v>629</v>
      </c>
      <c r="M11" s="349">
        <f t="shared" si="3"/>
        <v>0.381014811246588</v>
      </c>
      <c r="N11" s="560"/>
      <c r="O11" s="561">
        <v>0</v>
      </c>
      <c r="P11" s="563">
        <v>16</v>
      </c>
      <c r="Q11" s="349">
        <f t="shared" si="4"/>
        <v>0.009691950683538009</v>
      </c>
      <c r="R11" s="560"/>
      <c r="S11" s="561">
        <v>0</v>
      </c>
      <c r="T11" s="362"/>
      <c r="U11" s="563">
        <v>0</v>
      </c>
      <c r="V11" s="560"/>
      <c r="W11" s="561">
        <v>0</v>
      </c>
      <c r="X11" s="560"/>
      <c r="Y11" s="561">
        <v>0</v>
      </c>
      <c r="Z11" s="560"/>
      <c r="AA11" s="561">
        <v>0</v>
      </c>
      <c r="AB11" s="362"/>
      <c r="AC11" s="563">
        <v>0</v>
      </c>
      <c r="AD11" s="560">
        <f t="shared" si="5"/>
        <v>645</v>
      </c>
    </row>
    <row r="12" spans="1:30" ht="12.75">
      <c r="A12" s="346" t="s">
        <v>196</v>
      </c>
      <c r="B12" s="563">
        <v>10</v>
      </c>
      <c r="C12" s="563">
        <v>443</v>
      </c>
      <c r="D12" s="358">
        <v>0.0045</v>
      </c>
      <c r="E12" s="359">
        <f t="shared" si="0"/>
        <v>1.4690211676462521</v>
      </c>
      <c r="F12" s="562">
        <v>1.27</v>
      </c>
      <c r="G12" s="563">
        <v>1987</v>
      </c>
      <c r="H12" s="563">
        <v>645</v>
      </c>
      <c r="I12" s="360">
        <f t="shared" si="1"/>
        <v>3.9147727200946725</v>
      </c>
      <c r="J12" s="347">
        <f t="shared" si="2"/>
        <v>0.39070676193012593</v>
      </c>
      <c r="K12" s="348">
        <v>1.27</v>
      </c>
      <c r="L12" s="361">
        <v>629</v>
      </c>
      <c r="M12" s="349">
        <f t="shared" si="3"/>
        <v>0.381014811246588</v>
      </c>
      <c r="N12" s="560"/>
      <c r="O12" s="561">
        <v>0</v>
      </c>
      <c r="P12" s="563">
        <v>16</v>
      </c>
      <c r="Q12" s="345">
        <f t="shared" si="4"/>
        <v>0.009691950683538009</v>
      </c>
      <c r="R12" s="560"/>
      <c r="S12" s="561">
        <v>0</v>
      </c>
      <c r="T12" s="362"/>
      <c r="U12" s="563">
        <v>0</v>
      </c>
      <c r="V12" s="560"/>
      <c r="W12" s="561">
        <v>0</v>
      </c>
      <c r="X12" s="560"/>
      <c r="Y12" s="561">
        <v>0</v>
      </c>
      <c r="Z12" s="560"/>
      <c r="AA12" s="561">
        <v>0</v>
      </c>
      <c r="AB12" s="362"/>
      <c r="AC12" s="563">
        <v>0</v>
      </c>
      <c r="AD12" s="560">
        <f t="shared" si="5"/>
        <v>645</v>
      </c>
    </row>
    <row r="13" spans="1:30" ht="12.75">
      <c r="A13" s="346"/>
      <c r="B13" s="563">
        <v>10</v>
      </c>
      <c r="C13" s="563">
        <v>444</v>
      </c>
      <c r="D13" s="358">
        <v>0.0045</v>
      </c>
      <c r="E13" s="359">
        <f t="shared" si="0"/>
        <v>1.4690211676462521</v>
      </c>
      <c r="F13" s="562">
        <v>1.27</v>
      </c>
      <c r="G13" s="563">
        <v>1987</v>
      </c>
      <c r="H13" s="563">
        <v>645</v>
      </c>
      <c r="I13" s="360">
        <f t="shared" si="1"/>
        <v>3.9147727200946725</v>
      </c>
      <c r="J13" s="347">
        <f t="shared" si="2"/>
        <v>0.39070676193012593</v>
      </c>
      <c r="K13" s="348">
        <v>1.27</v>
      </c>
      <c r="L13" s="361">
        <v>629</v>
      </c>
      <c r="M13" s="345">
        <f t="shared" si="3"/>
        <v>0.381014811246588</v>
      </c>
      <c r="N13" s="560"/>
      <c r="O13" s="561">
        <v>0</v>
      </c>
      <c r="P13" s="563">
        <v>16</v>
      </c>
      <c r="Q13" s="345">
        <f t="shared" si="4"/>
        <v>0.009691950683538009</v>
      </c>
      <c r="R13" s="560"/>
      <c r="S13" s="561">
        <v>0</v>
      </c>
      <c r="T13" s="362"/>
      <c r="U13" s="563">
        <v>0</v>
      </c>
      <c r="V13" s="560"/>
      <c r="W13" s="561">
        <v>0</v>
      </c>
      <c r="X13" s="560"/>
      <c r="Y13" s="561">
        <v>0</v>
      </c>
      <c r="Z13" s="560"/>
      <c r="AA13" s="561">
        <v>0</v>
      </c>
      <c r="AB13" s="362"/>
      <c r="AC13" s="563">
        <v>0</v>
      </c>
      <c r="AD13" s="560">
        <f t="shared" si="5"/>
        <v>645</v>
      </c>
    </row>
    <row r="14" spans="1:30" ht="12.75">
      <c r="A14" s="346"/>
      <c r="B14" s="563">
        <v>10</v>
      </c>
      <c r="C14" s="563">
        <v>230</v>
      </c>
      <c r="D14" s="358">
        <v>0.0045</v>
      </c>
      <c r="E14" s="359">
        <f t="shared" si="0"/>
        <v>1.4690211676462521</v>
      </c>
      <c r="F14" s="562">
        <v>1.27</v>
      </c>
      <c r="G14" s="563">
        <v>1987</v>
      </c>
      <c r="H14" s="563">
        <v>645</v>
      </c>
      <c r="I14" s="360">
        <f>I$19</f>
        <v>3.9147727200946725</v>
      </c>
      <c r="J14" s="347">
        <f t="shared" si="2"/>
        <v>0.39070676193012593</v>
      </c>
      <c r="K14" s="348">
        <v>1.27</v>
      </c>
      <c r="L14" s="361">
        <v>629</v>
      </c>
      <c r="M14" s="345">
        <f>M$19</f>
        <v>0.381014811246588</v>
      </c>
      <c r="N14" s="563"/>
      <c r="O14" s="561">
        <v>0</v>
      </c>
      <c r="P14" s="563">
        <v>16</v>
      </c>
      <c r="Q14" s="345">
        <f>Q$19</f>
        <v>0.009691950683538009</v>
      </c>
      <c r="R14" s="563"/>
      <c r="S14" s="561">
        <v>0</v>
      </c>
      <c r="T14" s="362"/>
      <c r="U14" s="563">
        <v>0</v>
      </c>
      <c r="V14" s="560"/>
      <c r="W14" s="561">
        <v>0</v>
      </c>
      <c r="X14" s="560"/>
      <c r="Y14" s="561">
        <v>0</v>
      </c>
      <c r="Z14" s="560"/>
      <c r="AA14" s="561">
        <v>0</v>
      </c>
      <c r="AB14" s="362"/>
      <c r="AC14" s="563">
        <v>0</v>
      </c>
      <c r="AD14" s="560">
        <f t="shared" si="5"/>
        <v>645</v>
      </c>
    </row>
    <row r="15" spans="1:30" ht="12.75">
      <c r="A15" s="346" t="s">
        <v>197</v>
      </c>
      <c r="B15" s="563">
        <v>10</v>
      </c>
      <c r="C15" s="563">
        <v>266</v>
      </c>
      <c r="D15" s="358">
        <v>0.0045</v>
      </c>
      <c r="E15" s="359">
        <f t="shared" si="0"/>
        <v>1.4690211676462521</v>
      </c>
      <c r="F15" s="562">
        <v>1.27</v>
      </c>
      <c r="G15" s="563">
        <v>1987</v>
      </c>
      <c r="H15" s="563">
        <v>645</v>
      </c>
      <c r="I15" s="360">
        <f>I$19</f>
        <v>3.9147727200946725</v>
      </c>
      <c r="J15" s="347">
        <f t="shared" si="2"/>
        <v>0.39070676193012593</v>
      </c>
      <c r="K15" s="348">
        <v>1.27</v>
      </c>
      <c r="L15" s="361">
        <v>629</v>
      </c>
      <c r="M15" s="345">
        <f>M$19</f>
        <v>0.381014811246588</v>
      </c>
      <c r="N15" s="563"/>
      <c r="O15" s="561">
        <v>0</v>
      </c>
      <c r="P15" s="563">
        <v>16</v>
      </c>
      <c r="Q15" s="345">
        <f>Q$19</f>
        <v>0.009691950683538009</v>
      </c>
      <c r="R15" s="563"/>
      <c r="S15" s="561">
        <v>0</v>
      </c>
      <c r="T15" s="362"/>
      <c r="U15" s="563">
        <v>0</v>
      </c>
      <c r="V15" s="560"/>
      <c r="W15" s="561">
        <v>0</v>
      </c>
      <c r="X15" s="560"/>
      <c r="Y15" s="561">
        <v>0</v>
      </c>
      <c r="Z15" s="560"/>
      <c r="AA15" s="561">
        <v>0</v>
      </c>
      <c r="AB15" s="362"/>
      <c r="AC15" s="563">
        <v>0</v>
      </c>
      <c r="AD15" s="560">
        <f t="shared" si="5"/>
        <v>645</v>
      </c>
    </row>
    <row r="16" spans="1:30" ht="12.75">
      <c r="A16" s="346"/>
      <c r="B16" s="563">
        <v>10</v>
      </c>
      <c r="C16" s="563">
        <v>265</v>
      </c>
      <c r="D16" s="358">
        <v>0.0045</v>
      </c>
      <c r="E16" s="359">
        <f t="shared" si="0"/>
        <v>1.4690211676462521</v>
      </c>
      <c r="F16" s="562">
        <v>1.27</v>
      </c>
      <c r="G16" s="563">
        <v>1987</v>
      </c>
      <c r="H16" s="563">
        <v>645</v>
      </c>
      <c r="I16" s="360">
        <f>I$19</f>
        <v>3.9147727200946725</v>
      </c>
      <c r="J16" s="347">
        <f t="shared" si="2"/>
        <v>0.39070676193012593</v>
      </c>
      <c r="K16" s="348">
        <v>1.27</v>
      </c>
      <c r="L16" s="361">
        <v>629</v>
      </c>
      <c r="M16" s="345">
        <f>M$19</f>
        <v>0.381014811246588</v>
      </c>
      <c r="N16" s="563"/>
      <c r="O16" s="561">
        <v>0</v>
      </c>
      <c r="P16" s="563">
        <v>16</v>
      </c>
      <c r="Q16" s="345">
        <f>Q$19</f>
        <v>0.009691950683538009</v>
      </c>
      <c r="R16" s="563"/>
      <c r="S16" s="561">
        <v>0</v>
      </c>
      <c r="T16" s="362"/>
      <c r="U16" s="563">
        <v>0</v>
      </c>
      <c r="V16" s="560"/>
      <c r="W16" s="561">
        <v>0</v>
      </c>
      <c r="X16" s="560"/>
      <c r="Y16" s="561">
        <v>0</v>
      </c>
      <c r="Z16" s="560"/>
      <c r="AA16" s="561">
        <v>0</v>
      </c>
      <c r="AB16" s="362"/>
      <c r="AC16" s="563">
        <v>0</v>
      </c>
      <c r="AD16" s="560">
        <f t="shared" si="5"/>
        <v>645</v>
      </c>
    </row>
    <row r="17" spans="1:30" ht="12.75">
      <c r="A17" s="346"/>
      <c r="B17" s="563">
        <v>10</v>
      </c>
      <c r="C17" s="563">
        <v>265</v>
      </c>
      <c r="D17" s="358">
        <v>0.0045</v>
      </c>
      <c r="E17" s="359">
        <f t="shared" si="0"/>
        <v>1.4690211676462521</v>
      </c>
      <c r="F17" s="562">
        <v>1.27</v>
      </c>
      <c r="G17" s="563">
        <v>1987</v>
      </c>
      <c r="H17" s="563">
        <v>645</v>
      </c>
      <c r="I17" s="360">
        <f>I$19</f>
        <v>3.9147727200946725</v>
      </c>
      <c r="J17" s="347">
        <f t="shared" si="2"/>
        <v>0.39070676193012593</v>
      </c>
      <c r="K17" s="348">
        <v>1.27</v>
      </c>
      <c r="L17" s="361">
        <v>629</v>
      </c>
      <c r="M17" s="345">
        <f>M$19</f>
        <v>0.381014811246588</v>
      </c>
      <c r="N17" s="563"/>
      <c r="O17" s="561">
        <v>0</v>
      </c>
      <c r="P17" s="563">
        <v>16</v>
      </c>
      <c r="Q17" s="345">
        <f>Q$19</f>
        <v>0.009691950683538009</v>
      </c>
      <c r="R17" s="563"/>
      <c r="S17" s="561">
        <v>0</v>
      </c>
      <c r="T17" s="362"/>
      <c r="U17" s="563">
        <v>0</v>
      </c>
      <c r="V17" s="560"/>
      <c r="W17" s="561">
        <v>0</v>
      </c>
      <c r="X17" s="560"/>
      <c r="Y17" s="561">
        <v>0</v>
      </c>
      <c r="Z17" s="560"/>
      <c r="AA17" s="561">
        <v>0</v>
      </c>
      <c r="AB17" s="362"/>
      <c r="AC17" s="563">
        <v>0</v>
      </c>
      <c r="AD17" s="560">
        <f t="shared" si="5"/>
        <v>645</v>
      </c>
    </row>
    <row r="18" spans="1:30" ht="12.75">
      <c r="A18" s="346"/>
      <c r="B18" s="563">
        <v>10</v>
      </c>
      <c r="C18" s="563">
        <v>265</v>
      </c>
      <c r="D18" s="358">
        <v>0.0045</v>
      </c>
      <c r="E18" s="359">
        <f t="shared" si="0"/>
        <v>1.4690211676462521</v>
      </c>
      <c r="F18" s="562">
        <v>1.27</v>
      </c>
      <c r="G18" s="563">
        <v>1987</v>
      </c>
      <c r="H18" s="563">
        <v>645</v>
      </c>
      <c r="I18" s="360">
        <f>I$19</f>
        <v>3.9147727200946725</v>
      </c>
      <c r="J18" s="347">
        <f t="shared" si="2"/>
        <v>0.39070676193012593</v>
      </c>
      <c r="K18" s="348">
        <v>1.27</v>
      </c>
      <c r="L18" s="361">
        <v>629</v>
      </c>
      <c r="M18" s="345">
        <f>M$19</f>
        <v>0.381014811246588</v>
      </c>
      <c r="N18" s="563"/>
      <c r="O18" s="561">
        <v>0</v>
      </c>
      <c r="P18" s="563">
        <v>16</v>
      </c>
      <c r="Q18" s="345">
        <f>Q$19</f>
        <v>0.009691950683538009</v>
      </c>
      <c r="R18" s="563"/>
      <c r="S18" s="561">
        <v>0</v>
      </c>
      <c r="T18" s="362"/>
      <c r="U18" s="563">
        <v>0</v>
      </c>
      <c r="V18" s="560"/>
      <c r="W18" s="561">
        <v>0</v>
      </c>
      <c r="X18" s="560"/>
      <c r="Y18" s="561">
        <v>0</v>
      </c>
      <c r="Z18" s="560"/>
      <c r="AA18" s="561">
        <v>0</v>
      </c>
      <c r="AB18" s="362"/>
      <c r="AC18" s="563">
        <v>0</v>
      </c>
      <c r="AD18" s="560">
        <f t="shared" si="5"/>
        <v>645</v>
      </c>
    </row>
    <row r="19" spans="1:30" ht="12.75">
      <c r="A19" s="346"/>
      <c r="B19" s="563">
        <v>10</v>
      </c>
      <c r="C19" s="563">
        <v>268</v>
      </c>
      <c r="D19" s="358">
        <v>0.0045</v>
      </c>
      <c r="E19" s="359">
        <f t="shared" si="0"/>
        <v>1.4690211676462521</v>
      </c>
      <c r="F19" s="562">
        <v>1.27</v>
      </c>
      <c r="G19" s="563">
        <v>1987</v>
      </c>
      <c r="H19" s="563">
        <v>645</v>
      </c>
      <c r="I19" s="360">
        <f t="shared" si="1"/>
        <v>3.9147727200946725</v>
      </c>
      <c r="J19" s="347">
        <f t="shared" si="2"/>
        <v>0.39070676193012593</v>
      </c>
      <c r="K19" s="348">
        <v>1.27</v>
      </c>
      <c r="L19" s="361">
        <v>629</v>
      </c>
      <c r="M19" s="345">
        <f t="shared" si="3"/>
        <v>0.381014811246588</v>
      </c>
      <c r="N19" s="560"/>
      <c r="O19" s="561">
        <v>0</v>
      </c>
      <c r="P19" s="563">
        <v>16</v>
      </c>
      <c r="Q19" s="345">
        <f t="shared" si="4"/>
        <v>0.009691950683538009</v>
      </c>
      <c r="R19" s="563"/>
      <c r="S19" s="561">
        <v>0</v>
      </c>
      <c r="T19" s="362"/>
      <c r="U19" s="563">
        <v>0</v>
      </c>
      <c r="V19" s="560"/>
      <c r="W19" s="561">
        <v>0</v>
      </c>
      <c r="X19" s="560"/>
      <c r="Y19" s="561">
        <v>0</v>
      </c>
      <c r="Z19" s="560"/>
      <c r="AA19" s="561">
        <v>0</v>
      </c>
      <c r="AB19" s="362"/>
      <c r="AC19" s="563">
        <v>0</v>
      </c>
      <c r="AD19" s="363">
        <f t="shared" si="5"/>
        <v>645</v>
      </c>
    </row>
    <row r="20" spans="1:30" ht="12.75">
      <c r="A20" s="346" t="s">
        <v>198</v>
      </c>
      <c r="B20" s="563">
        <v>15</v>
      </c>
      <c r="C20" s="563">
        <v>124</v>
      </c>
      <c r="D20" s="358">
        <v>0.003</v>
      </c>
      <c r="E20" s="359">
        <f t="shared" si="0"/>
        <v>3.536381541223261</v>
      </c>
      <c r="F20" s="562">
        <v>2.01</v>
      </c>
      <c r="G20" s="563">
        <v>1966</v>
      </c>
      <c r="H20" s="563">
        <v>1220</v>
      </c>
      <c r="I20" s="360">
        <f t="shared" si="1"/>
        <v>3.742658631660205</v>
      </c>
      <c r="J20" s="347">
        <f t="shared" si="2"/>
        <v>0.7065204017233379</v>
      </c>
      <c r="K20" s="348">
        <v>2.01</v>
      </c>
      <c r="L20" s="361">
        <v>1204</v>
      </c>
      <c r="M20" s="349">
        <f t="shared" si="3"/>
        <v>0.6972545603892614</v>
      </c>
      <c r="N20" s="560"/>
      <c r="O20" s="561">
        <v>0</v>
      </c>
      <c r="P20" s="563">
        <v>16</v>
      </c>
      <c r="Q20" s="349">
        <f t="shared" si="4"/>
        <v>0.009265841334076562</v>
      </c>
      <c r="R20" s="560"/>
      <c r="S20" s="561">
        <v>0</v>
      </c>
      <c r="T20" s="362"/>
      <c r="U20" s="563">
        <v>0</v>
      </c>
      <c r="V20" s="560"/>
      <c r="W20" s="561">
        <v>0</v>
      </c>
      <c r="X20" s="560"/>
      <c r="Y20" s="561">
        <v>0</v>
      </c>
      <c r="Z20" s="560"/>
      <c r="AA20" s="561">
        <v>0</v>
      </c>
      <c r="AB20" s="362"/>
      <c r="AC20" s="563">
        <v>0</v>
      </c>
      <c r="AD20" s="363">
        <f t="shared" si="5"/>
        <v>1220</v>
      </c>
    </row>
    <row r="21" spans="1:30" ht="12.75">
      <c r="A21" s="346"/>
      <c r="B21" s="563">
        <v>15</v>
      </c>
      <c r="C21" s="563">
        <v>30</v>
      </c>
      <c r="D21" s="358">
        <v>0.003</v>
      </c>
      <c r="E21" s="359">
        <f t="shared" si="0"/>
        <v>3.536381541223261</v>
      </c>
      <c r="F21" s="562">
        <v>2.01</v>
      </c>
      <c r="G21" s="563">
        <v>1966</v>
      </c>
      <c r="H21" s="563">
        <v>1220</v>
      </c>
      <c r="I21" s="360">
        <f t="shared" si="1"/>
        <v>3.742658631660205</v>
      </c>
      <c r="J21" s="347">
        <f t="shared" si="2"/>
        <v>0.7065204017233379</v>
      </c>
      <c r="K21" s="348">
        <v>2.01</v>
      </c>
      <c r="L21" s="361">
        <v>1204</v>
      </c>
      <c r="M21" s="349">
        <f t="shared" si="3"/>
        <v>0.6972545603892614</v>
      </c>
      <c r="N21" s="560"/>
      <c r="O21" s="561">
        <v>0</v>
      </c>
      <c r="P21" s="563">
        <v>16</v>
      </c>
      <c r="Q21" s="349">
        <f t="shared" si="4"/>
        <v>0.009265841334076562</v>
      </c>
      <c r="R21" s="560"/>
      <c r="S21" s="561">
        <v>0</v>
      </c>
      <c r="T21" s="362"/>
      <c r="U21" s="563">
        <v>0</v>
      </c>
      <c r="V21" s="560"/>
      <c r="W21" s="561">
        <v>0</v>
      </c>
      <c r="X21" s="560"/>
      <c r="Y21" s="561">
        <v>0</v>
      </c>
      <c r="Z21" s="560"/>
      <c r="AA21" s="561">
        <v>0</v>
      </c>
      <c r="AB21" s="362"/>
      <c r="AC21" s="563">
        <v>0</v>
      </c>
      <c r="AD21" s="363">
        <f t="shared" si="5"/>
        <v>1220</v>
      </c>
    </row>
    <row r="22" spans="1:30" ht="12.75">
      <c r="A22" s="346"/>
      <c r="B22" s="563">
        <v>15</v>
      </c>
      <c r="C22" s="563">
        <v>306</v>
      </c>
      <c r="D22" s="358">
        <v>0.003</v>
      </c>
      <c r="E22" s="359">
        <f t="shared" si="0"/>
        <v>3.536381541223261</v>
      </c>
      <c r="F22" s="562">
        <v>2.01</v>
      </c>
      <c r="G22" s="563">
        <v>1966</v>
      </c>
      <c r="H22" s="563">
        <v>1220</v>
      </c>
      <c r="I22" s="360">
        <f t="shared" si="1"/>
        <v>3.742658631660205</v>
      </c>
      <c r="J22" s="347">
        <f t="shared" si="2"/>
        <v>0.7065204017233379</v>
      </c>
      <c r="K22" s="348">
        <v>2.01</v>
      </c>
      <c r="L22" s="361">
        <v>1204</v>
      </c>
      <c r="M22" s="349">
        <f>M$28</f>
        <v>0</v>
      </c>
      <c r="N22" s="560"/>
      <c r="O22" s="561">
        <v>0</v>
      </c>
      <c r="P22" s="563">
        <v>16</v>
      </c>
      <c r="Q22" s="349">
        <f>Q$28</f>
        <v>0</v>
      </c>
      <c r="R22" s="560"/>
      <c r="S22" s="561">
        <v>0</v>
      </c>
      <c r="T22" s="362"/>
      <c r="U22" s="563">
        <v>0</v>
      </c>
      <c r="V22" s="560"/>
      <c r="W22" s="561">
        <v>0</v>
      </c>
      <c r="X22" s="560"/>
      <c r="Y22" s="561">
        <v>0</v>
      </c>
      <c r="Z22" s="560"/>
      <c r="AA22" s="561">
        <v>0</v>
      </c>
      <c r="AB22" s="362"/>
      <c r="AC22" s="563">
        <v>0</v>
      </c>
      <c r="AD22" s="363">
        <f t="shared" si="5"/>
        <v>1220</v>
      </c>
    </row>
    <row r="23" spans="1:31" ht="12.75">
      <c r="A23" s="364" t="s">
        <v>205</v>
      </c>
      <c r="B23" s="47">
        <v>15</v>
      </c>
      <c r="C23" s="47">
        <v>47</v>
      </c>
      <c r="D23" s="377">
        <v>0.003</v>
      </c>
      <c r="E23" s="365">
        <f t="shared" si="0"/>
        <v>3.536381541223261</v>
      </c>
      <c r="F23" s="366">
        <v>2.01</v>
      </c>
      <c r="G23" s="47">
        <v>1962</v>
      </c>
      <c r="H23" s="47">
        <v>1220</v>
      </c>
      <c r="I23" s="367">
        <f t="shared" si="1"/>
        <v>3.742658631660205</v>
      </c>
      <c r="J23" s="368">
        <f t="shared" si="2"/>
        <v>0.7065204017233379</v>
      </c>
      <c r="K23" s="369">
        <v>2.01</v>
      </c>
      <c r="L23" s="370">
        <v>1204</v>
      </c>
      <c r="M23" s="371">
        <f>M$28</f>
        <v>0</v>
      </c>
      <c r="N23" s="372"/>
      <c r="O23" s="373">
        <v>0</v>
      </c>
      <c r="P23" s="47">
        <v>16</v>
      </c>
      <c r="Q23" s="374">
        <f>Q$28</f>
        <v>0</v>
      </c>
      <c r="R23" s="47"/>
      <c r="S23" s="373">
        <v>0</v>
      </c>
      <c r="T23" s="375"/>
      <c r="U23" s="47">
        <v>0</v>
      </c>
      <c r="V23" s="372"/>
      <c r="W23" s="373">
        <v>0</v>
      </c>
      <c r="X23" s="372"/>
      <c r="Y23" s="373">
        <v>0</v>
      </c>
      <c r="Z23" s="372"/>
      <c r="AA23" s="373">
        <v>0</v>
      </c>
      <c r="AB23" s="375"/>
      <c r="AC23" s="47">
        <v>0</v>
      </c>
      <c r="AD23" s="376">
        <f t="shared" si="5"/>
        <v>1220</v>
      </c>
      <c r="AE23" s="1"/>
    </row>
    <row r="24" spans="5:18" ht="12.75">
      <c r="E24" s="589"/>
      <c r="F24" s="589"/>
      <c r="G24" s="589"/>
      <c r="H24" s="589"/>
      <c r="I24" s="589"/>
      <c r="J24" s="589"/>
      <c r="K24" s="589"/>
      <c r="L24" s="589"/>
      <c r="M24" s="627"/>
      <c r="N24" s="589"/>
      <c r="O24" s="589"/>
      <c r="P24" s="589"/>
      <c r="Q24" s="589"/>
      <c r="R24" s="589"/>
    </row>
    <row r="25" spans="11:18" ht="12.75">
      <c r="K25" s="589"/>
      <c r="L25" s="589"/>
      <c r="M25" s="627"/>
      <c r="N25" s="589"/>
      <c r="O25" s="589"/>
      <c r="P25" s="589"/>
      <c r="Q25" s="589"/>
      <c r="R25" s="589"/>
    </row>
    <row r="26" spans="5:18" ht="12.75">
      <c r="E26" s="589"/>
      <c r="F26" s="589"/>
      <c r="K26" s="589"/>
      <c r="L26" s="589"/>
      <c r="M26" s="627"/>
      <c r="N26" s="589"/>
      <c r="O26" s="589"/>
      <c r="P26" s="589"/>
      <c r="Q26" s="589"/>
      <c r="R26" s="589"/>
    </row>
    <row r="27" spans="13:18" ht="12.75">
      <c r="M27" s="627"/>
      <c r="N27" s="589"/>
      <c r="Q27" s="589"/>
      <c r="R27" s="589"/>
    </row>
    <row r="28" spans="5:18" ht="12.75">
      <c r="E28" s="589"/>
      <c r="K28" s="589"/>
      <c r="L28" s="589"/>
      <c r="M28" s="627"/>
      <c r="N28" s="589"/>
      <c r="O28" s="589"/>
      <c r="P28" s="589"/>
      <c r="Q28" s="589"/>
      <c r="R28" s="589"/>
    </row>
    <row r="41" s="589" customFormat="1" ht="12.75">
      <c r="M41" s="627"/>
    </row>
    <row r="42" s="589" customFormat="1" ht="12.75">
      <c r="M42" s="627"/>
    </row>
    <row r="43" s="589" customFormat="1" ht="12.75">
      <c r="M43" s="627"/>
    </row>
    <row r="45" s="589" customFormat="1" ht="12.75">
      <c r="M45" s="627"/>
    </row>
    <row r="46" s="589" customFormat="1" ht="12.75">
      <c r="M46" s="627"/>
    </row>
    <row r="47" s="589" customFormat="1" ht="12.75">
      <c r="M47" s="627"/>
    </row>
    <row r="48" s="589" customFormat="1" ht="12.75">
      <c r="M48" s="627"/>
    </row>
    <row r="68" s="589" customFormat="1" ht="12.75">
      <c r="M68" s="627"/>
    </row>
  </sheetData>
  <sheetProtection/>
  <mergeCells count="9">
    <mergeCell ref="Z6:AA6"/>
    <mergeCell ref="AB6:AC6"/>
    <mergeCell ref="L6:M6"/>
    <mergeCell ref="P6:Q6"/>
    <mergeCell ref="N6:O6"/>
    <mergeCell ref="R6:S6"/>
    <mergeCell ref="T6:U6"/>
    <mergeCell ref="V6:W6"/>
    <mergeCell ref="X6:Y6"/>
  </mergeCells>
  <printOptions/>
  <pageMargins left="0.47" right="0.38" top="0.75" bottom="0.75" header="0.3" footer="0.3"/>
  <pageSetup fitToHeight="1" fitToWidth="1" horizontalDpi="600" verticalDpi="600" orientation="landscape" scale="74" r:id="rId1"/>
  <headerFooter alignWithMargins="0">
    <oddFooter>&amp;L&amp;8Revised:                             6/1/2012
App.by OSG Tech. Comm.  &amp;CPage 1 of 13</oddFooter>
  </headerFooter>
  <rowBreaks count="1" manualBreakCount="1">
    <brk id="81" max="255" man="1"/>
  </rowBreaks>
  <colBreaks count="1" manualBreakCount="1">
    <brk id="8"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AE53"/>
  <sheetViews>
    <sheetView view="pageLayout" zoomScale="0" zoomScaleSheetLayoutView="100" zoomScalePageLayoutView="0" workbookViewId="0" topLeftCell="A1">
      <selection activeCell="G28" sqref="G28"/>
      <selection activeCell="A1" sqref="A1"/>
    </sheetView>
  </sheetViews>
  <sheetFormatPr defaultColWidth="9.140625" defaultRowHeight="12.75"/>
  <cols>
    <col min="1" max="1" width="9.57421875" style="0" customWidth="1"/>
    <col min="2" max="2" width="7.00390625" style="0" customWidth="1"/>
    <col min="3" max="3" width="3.140625" style="245" customWidth="1"/>
    <col min="4" max="4" width="4.140625" style="245" customWidth="1"/>
    <col min="5" max="5" width="3.8515625" style="246" customWidth="1"/>
    <col min="6" max="6" width="5.28125" style="245" customWidth="1"/>
    <col min="7" max="7" width="5.140625" style="568" customWidth="1"/>
    <col min="8" max="8" width="4.421875" style="245" customWidth="1"/>
    <col min="9" max="9" width="6.421875" style="254" customWidth="1"/>
    <col min="10" max="10" width="4.8515625" style="224" customWidth="1"/>
    <col min="11" max="11" width="4.421875" style="223" customWidth="1"/>
    <col min="12" max="12" width="4.140625" style="1" customWidth="1"/>
    <col min="13" max="13" width="4.7109375" style="220" customWidth="1"/>
    <col min="14" max="14" width="4.7109375" style="236" customWidth="1"/>
    <col min="15" max="15" width="4.7109375" style="1" customWidth="1"/>
    <col min="16" max="16" width="5.421875" style="0" customWidth="1"/>
    <col min="17" max="17" width="4.7109375" style="1" customWidth="1"/>
    <col min="18" max="18" width="5.28125" style="1" customWidth="1"/>
    <col min="19" max="30" width="4.7109375" style="0" customWidth="1"/>
    <col min="31" max="31" width="6.8515625" style="220" customWidth="1"/>
  </cols>
  <sheetData>
    <row r="1" spans="1:31" ht="14.25">
      <c r="A1" s="88" t="s">
        <v>172</v>
      </c>
      <c r="U1" s="88"/>
      <c r="V1" s="88"/>
      <c r="W1" s="88"/>
      <c r="X1" s="88"/>
      <c r="Y1" s="88"/>
      <c r="Z1" s="88"/>
      <c r="AA1" s="88"/>
      <c r="AB1" s="88"/>
      <c r="AC1" s="551"/>
      <c r="AD1" s="551"/>
      <c r="AE1" s="551"/>
    </row>
    <row r="2" spans="1:31" ht="14.25">
      <c r="A2" s="88" t="s">
        <v>1</v>
      </c>
      <c r="AC2" s="551"/>
      <c r="AD2" s="551"/>
      <c r="AE2" s="551"/>
    </row>
    <row r="3" ht="14.25">
      <c r="A3" s="88" t="s">
        <v>2</v>
      </c>
    </row>
    <row r="4" ht="14.25">
      <c r="A4" s="88" t="s">
        <v>173</v>
      </c>
    </row>
    <row r="5" ht="12.75">
      <c r="A5" s="22" t="s">
        <v>494</v>
      </c>
    </row>
    <row r="7" spans="1:31" ht="12.75">
      <c r="A7" s="267"/>
      <c r="B7" s="267"/>
      <c r="F7" s="342"/>
      <c r="G7" s="567" t="s">
        <v>44</v>
      </c>
      <c r="I7" s="576" t="s">
        <v>175</v>
      </c>
      <c r="J7" s="247"/>
      <c r="K7" s="54" t="s">
        <v>203</v>
      </c>
      <c r="L7" s="42" t="s">
        <v>204</v>
      </c>
      <c r="M7" s="672" t="s">
        <v>44</v>
      </c>
      <c r="N7" s="671"/>
      <c r="O7" s="670" t="s">
        <v>66</v>
      </c>
      <c r="P7" s="671"/>
      <c r="Q7" s="670" t="s">
        <v>177</v>
      </c>
      <c r="R7" s="671"/>
      <c r="S7" s="670" t="s">
        <v>237</v>
      </c>
      <c r="T7" s="671" t="s">
        <v>211</v>
      </c>
      <c r="U7" s="670" t="s">
        <v>178</v>
      </c>
      <c r="V7" s="671"/>
      <c r="W7" s="670" t="s">
        <v>68</v>
      </c>
      <c r="X7" s="671"/>
      <c r="Y7" s="670" t="s">
        <v>65</v>
      </c>
      <c r="Z7" s="671"/>
      <c r="AA7" s="670" t="s">
        <v>207</v>
      </c>
      <c r="AB7" s="671"/>
      <c r="AC7" s="670" t="s">
        <v>208</v>
      </c>
      <c r="AD7" s="671"/>
      <c r="AE7" s="576" t="s">
        <v>7</v>
      </c>
    </row>
    <row r="8" spans="1:31" ht="12.75">
      <c r="A8" s="669" t="s">
        <v>179</v>
      </c>
      <c r="B8" s="669"/>
      <c r="C8" s="568" t="s">
        <v>180</v>
      </c>
      <c r="D8" s="568" t="s">
        <v>181</v>
      </c>
      <c r="E8" s="51" t="s">
        <v>182</v>
      </c>
      <c r="F8" s="41" t="s">
        <v>183</v>
      </c>
      <c r="G8" s="567" t="s">
        <v>204</v>
      </c>
      <c r="H8" s="568" t="s">
        <v>212</v>
      </c>
      <c r="I8" s="576" t="s">
        <v>184</v>
      </c>
      <c r="J8" s="50" t="s">
        <v>185</v>
      </c>
      <c r="K8" s="54" t="s">
        <v>204</v>
      </c>
      <c r="L8" s="42" t="s">
        <v>199</v>
      </c>
      <c r="M8" s="575" t="s">
        <v>187</v>
      </c>
      <c r="N8" s="571" t="s">
        <v>200</v>
      </c>
      <c r="O8" s="575" t="s">
        <v>187</v>
      </c>
      <c r="P8" s="571" t="s">
        <v>200</v>
      </c>
      <c r="Q8" s="575" t="s">
        <v>187</v>
      </c>
      <c r="R8" s="571" t="s">
        <v>200</v>
      </c>
      <c r="S8" s="575" t="s">
        <v>187</v>
      </c>
      <c r="T8" s="571" t="s">
        <v>200</v>
      </c>
      <c r="U8" s="575" t="s">
        <v>187</v>
      </c>
      <c r="V8" s="571" t="s">
        <v>200</v>
      </c>
      <c r="W8" s="575" t="s">
        <v>187</v>
      </c>
      <c r="X8" s="571" t="s">
        <v>200</v>
      </c>
      <c r="Y8" s="575" t="s">
        <v>187</v>
      </c>
      <c r="Z8" s="571" t="s">
        <v>200</v>
      </c>
      <c r="AA8" s="575" t="s">
        <v>187</v>
      </c>
      <c r="AB8" s="571" t="s">
        <v>200</v>
      </c>
      <c r="AC8" s="575" t="s">
        <v>187</v>
      </c>
      <c r="AD8" s="571" t="s">
        <v>200</v>
      </c>
      <c r="AE8" s="576" t="s">
        <v>186</v>
      </c>
    </row>
    <row r="9" spans="1:31" ht="13.5" thickBot="1">
      <c r="A9" s="39" t="s">
        <v>214</v>
      </c>
      <c r="B9" s="39" t="s">
        <v>215</v>
      </c>
      <c r="C9" s="78" t="s">
        <v>189</v>
      </c>
      <c r="D9" s="78" t="s">
        <v>216</v>
      </c>
      <c r="E9" s="79" t="s">
        <v>202</v>
      </c>
      <c r="F9" s="80" t="s">
        <v>191</v>
      </c>
      <c r="G9" s="81" t="s">
        <v>191</v>
      </c>
      <c r="H9" s="78" t="s">
        <v>192</v>
      </c>
      <c r="I9" s="82" t="s">
        <v>217</v>
      </c>
      <c r="J9" s="83" t="s">
        <v>194</v>
      </c>
      <c r="K9" s="84" t="s">
        <v>191</v>
      </c>
      <c r="L9" s="85" t="s">
        <v>191</v>
      </c>
      <c r="M9" s="378"/>
      <c r="N9" s="86" t="s">
        <v>191</v>
      </c>
      <c r="O9" s="379"/>
      <c r="P9" s="87" t="s">
        <v>191</v>
      </c>
      <c r="Q9" s="379"/>
      <c r="R9" s="87" t="s">
        <v>191</v>
      </c>
      <c r="S9" s="379"/>
      <c r="T9" s="87" t="s">
        <v>191</v>
      </c>
      <c r="U9" s="379"/>
      <c r="V9" s="87" t="s">
        <v>191</v>
      </c>
      <c r="W9" s="379"/>
      <c r="X9" s="86" t="s">
        <v>191</v>
      </c>
      <c r="Y9" s="379"/>
      <c r="Z9" s="86" t="s">
        <v>191</v>
      </c>
      <c r="AA9" s="379"/>
      <c r="AB9" s="86" t="s">
        <v>191</v>
      </c>
      <c r="AC9" s="379"/>
      <c r="AD9" s="86" t="s">
        <v>191</v>
      </c>
      <c r="AE9" s="380"/>
    </row>
    <row r="10" spans="1:31" ht="9.75" customHeight="1" thickTop="1">
      <c r="A10" s="564" t="s">
        <v>218</v>
      </c>
      <c r="B10" s="564" t="s">
        <v>219</v>
      </c>
      <c r="C10" s="568">
        <v>18</v>
      </c>
      <c r="D10" s="568">
        <v>253</v>
      </c>
      <c r="E10" s="51">
        <v>0.0032</v>
      </c>
      <c r="F10" s="50">
        <f>(1.486/0.013)*((3.14*($C10*$C10)/4)/144)*SQRT($E10)*POWER($C10/12/4,2/3)</f>
        <v>5.939138680454404</v>
      </c>
      <c r="G10" s="567">
        <v>0</v>
      </c>
      <c r="H10" s="568">
        <v>1962</v>
      </c>
      <c r="I10" s="56">
        <v>10042</v>
      </c>
      <c r="J10" s="28">
        <f aca="true" t="shared" si="0" ref="J10:J53">(18+SQRT(I10/1000))/(4+SQRT(I10/1000))</f>
        <v>2.9528766716147503</v>
      </c>
      <c r="K10" s="62">
        <f aca="true" t="shared" si="1" ref="K10:K53">I10:I10*100*J10/(7.48*24*60*60)</f>
        <v>4.588282880328301</v>
      </c>
      <c r="L10" s="64">
        <f>F10</f>
        <v>5.939138680454404</v>
      </c>
      <c r="M10" s="65">
        <v>9548</v>
      </c>
      <c r="N10" s="574">
        <f>J10*100*M10/(7.48*24*60*60)</f>
        <v>4.362569701391617</v>
      </c>
      <c r="O10" s="578"/>
      <c r="P10" s="574">
        <f>J10*100*O10/(7.48*24*60*60)</f>
        <v>0</v>
      </c>
      <c r="Q10" s="578">
        <v>16</v>
      </c>
      <c r="R10" s="574">
        <f>J10*100*Q10/(7.48*24*60*60)</f>
        <v>0.0073105483056415885</v>
      </c>
      <c r="S10" s="578"/>
      <c r="T10" s="574">
        <v>0</v>
      </c>
      <c r="U10" s="578"/>
      <c r="V10" s="574">
        <v>0</v>
      </c>
      <c r="W10" s="578"/>
      <c r="X10" s="574">
        <f aca="true" t="shared" si="2" ref="X10:X53">$J10*100*W10/(7.48*24*60*60)</f>
        <v>0</v>
      </c>
      <c r="Y10" s="578"/>
      <c r="Z10" s="574">
        <f aca="true" t="shared" si="3" ref="Z10:Z52">$J10*100*Y10/(7.48*24*60*60)</f>
        <v>0</v>
      </c>
      <c r="AA10" s="578"/>
      <c r="AB10" s="574">
        <f aca="true" t="shared" si="4" ref="AB10:AB53">$J10*100*AA10/(7.48*24*60*60)</f>
        <v>0</v>
      </c>
      <c r="AC10" s="578"/>
      <c r="AD10" s="574">
        <f aca="true" t="shared" si="5" ref="AD10:AD53">$J10*100*AC10/(7.48*24*60*60)</f>
        <v>0</v>
      </c>
      <c r="AE10" s="76">
        <f>M10+O10+Q10+S10+U10+W10+Y10+AA10+AC10</f>
        <v>9564</v>
      </c>
    </row>
    <row r="11" spans="1:31" ht="9.75" customHeight="1">
      <c r="A11" s="267"/>
      <c r="B11" s="267"/>
      <c r="C11" s="568">
        <v>18</v>
      </c>
      <c r="D11" s="568">
        <v>260</v>
      </c>
      <c r="E11" s="51">
        <v>0.0032</v>
      </c>
      <c r="F11" s="54">
        <f>(1.486/0.013)*((3.14*($C11*$C11)/4)/144)*SQRT($E11)*POWER($C11/12/4,2/3)</f>
        <v>5.939138680454404</v>
      </c>
      <c r="G11" s="567">
        <v>0</v>
      </c>
      <c r="H11" s="568">
        <v>1962</v>
      </c>
      <c r="I11" s="56">
        <v>10042</v>
      </c>
      <c r="J11" s="38">
        <f t="shared" si="0"/>
        <v>2.9528766716147503</v>
      </c>
      <c r="K11" s="62">
        <f t="shared" si="1"/>
        <v>4.588282880328301</v>
      </c>
      <c r="L11" s="64">
        <f aca="true" t="shared" si="6" ref="L11:L52">F11</f>
        <v>5.939138680454404</v>
      </c>
      <c r="M11" s="65">
        <v>9548</v>
      </c>
      <c r="N11" s="574">
        <f aca="true" t="shared" si="7" ref="N11:N53">J11*100*M11/(7.48*24*60*60)</f>
        <v>4.362569701391617</v>
      </c>
      <c r="O11" s="578"/>
      <c r="P11" s="574">
        <f aca="true" t="shared" si="8" ref="P11:P17">J11*100*O11/(7.48*24*60*60)</f>
        <v>0</v>
      </c>
      <c r="Q11" s="578">
        <v>16</v>
      </c>
      <c r="R11" s="574">
        <f aca="true" t="shared" si="9" ref="R11:R17">J11*100*Q11/(7.48*24*60*60)</f>
        <v>0.0073105483056415885</v>
      </c>
      <c r="S11" s="578"/>
      <c r="T11" s="574">
        <v>0</v>
      </c>
      <c r="U11" s="578"/>
      <c r="V11" s="574">
        <v>0</v>
      </c>
      <c r="W11" s="578"/>
      <c r="X11" s="574">
        <f t="shared" si="2"/>
        <v>0</v>
      </c>
      <c r="Y11" s="578"/>
      <c r="Z11" s="574">
        <f t="shared" si="3"/>
        <v>0</v>
      </c>
      <c r="AA11" s="578"/>
      <c r="AB11" s="574">
        <f t="shared" si="4"/>
        <v>0</v>
      </c>
      <c r="AC11" s="578"/>
      <c r="AD11" s="574">
        <f t="shared" si="5"/>
        <v>0</v>
      </c>
      <c r="AE11" s="76">
        <f>M11+O11+Q11+S11+U11+W11+Y11+AA11+AC11</f>
        <v>9564</v>
      </c>
    </row>
    <row r="12" spans="1:31" ht="9.75" customHeight="1">
      <c r="A12" s="267"/>
      <c r="B12" s="267"/>
      <c r="C12" s="568">
        <v>18</v>
      </c>
      <c r="D12" s="568">
        <v>349</v>
      </c>
      <c r="E12" s="51">
        <v>0.0032</v>
      </c>
      <c r="F12" s="54">
        <f aca="true" t="shared" si="10" ref="F12:F52">(1.486/0.013)*((3.14*($C12*$C12)/4)/144)*SQRT($E12)*POWER($C12/12/4,2/3)</f>
        <v>5.939138680454404</v>
      </c>
      <c r="G12" s="567">
        <v>0</v>
      </c>
      <c r="H12" s="568">
        <v>1962</v>
      </c>
      <c r="I12" s="56">
        <v>10042</v>
      </c>
      <c r="J12" s="38">
        <f t="shared" si="0"/>
        <v>2.9528766716147503</v>
      </c>
      <c r="K12" s="62">
        <f t="shared" si="1"/>
        <v>4.588282880328301</v>
      </c>
      <c r="L12" s="64">
        <f t="shared" si="6"/>
        <v>5.939138680454404</v>
      </c>
      <c r="M12" s="65">
        <v>9548</v>
      </c>
      <c r="N12" s="574">
        <f t="shared" si="7"/>
        <v>4.362569701391617</v>
      </c>
      <c r="O12" s="578"/>
      <c r="P12" s="574">
        <f t="shared" si="8"/>
        <v>0</v>
      </c>
      <c r="Q12" s="578">
        <v>16</v>
      </c>
      <c r="R12" s="574">
        <f t="shared" si="9"/>
        <v>0.0073105483056415885</v>
      </c>
      <c r="S12" s="578"/>
      <c r="T12" s="574">
        <v>0</v>
      </c>
      <c r="U12" s="578"/>
      <c r="V12" s="574">
        <v>0</v>
      </c>
      <c r="W12" s="578"/>
      <c r="X12" s="574">
        <f t="shared" si="2"/>
        <v>0</v>
      </c>
      <c r="Y12" s="578"/>
      <c r="Z12" s="574">
        <f t="shared" si="3"/>
        <v>0</v>
      </c>
      <c r="AA12" s="578"/>
      <c r="AB12" s="574">
        <f t="shared" si="4"/>
        <v>0</v>
      </c>
      <c r="AC12" s="578"/>
      <c r="AD12" s="574">
        <f t="shared" si="5"/>
        <v>0</v>
      </c>
      <c r="AE12" s="76">
        <f>M12+O12+Q12+S12+U12+W12+Y12+AA12+AC12</f>
        <v>9564</v>
      </c>
    </row>
    <row r="13" spans="1:31" ht="9.75" customHeight="1">
      <c r="A13" s="267"/>
      <c r="B13" s="267"/>
      <c r="C13" s="568">
        <v>18</v>
      </c>
      <c r="D13" s="568">
        <v>349</v>
      </c>
      <c r="E13" s="51">
        <v>0.0032</v>
      </c>
      <c r="F13" s="54">
        <f t="shared" si="10"/>
        <v>5.939138680454404</v>
      </c>
      <c r="G13" s="567">
        <v>0</v>
      </c>
      <c r="H13" s="568">
        <v>1962</v>
      </c>
      <c r="I13" s="56">
        <v>10042</v>
      </c>
      <c r="J13" s="38">
        <f t="shared" si="0"/>
        <v>2.9528766716147503</v>
      </c>
      <c r="K13" s="62">
        <f t="shared" si="1"/>
        <v>4.588282880328301</v>
      </c>
      <c r="L13" s="235">
        <f t="shared" si="6"/>
        <v>5.939138680454404</v>
      </c>
      <c r="M13" s="65">
        <v>9548</v>
      </c>
      <c r="N13" s="574">
        <f t="shared" si="7"/>
        <v>4.362569701391617</v>
      </c>
      <c r="O13" s="578"/>
      <c r="P13" s="36">
        <f t="shared" si="8"/>
        <v>0</v>
      </c>
      <c r="Q13" s="578">
        <v>16</v>
      </c>
      <c r="R13" s="574">
        <f t="shared" si="9"/>
        <v>0.0073105483056415885</v>
      </c>
      <c r="S13" s="578"/>
      <c r="T13" s="574">
        <v>0</v>
      </c>
      <c r="U13" s="578"/>
      <c r="V13" s="574">
        <v>0</v>
      </c>
      <c r="W13" s="578"/>
      <c r="X13" s="574">
        <f t="shared" si="2"/>
        <v>0</v>
      </c>
      <c r="Y13" s="578"/>
      <c r="Z13" s="574">
        <f t="shared" si="3"/>
        <v>0</v>
      </c>
      <c r="AA13" s="578"/>
      <c r="AB13" s="574">
        <f t="shared" si="4"/>
        <v>0</v>
      </c>
      <c r="AC13" s="578"/>
      <c r="AD13" s="574">
        <f t="shared" si="5"/>
        <v>0</v>
      </c>
      <c r="AE13" s="76">
        <f aca="true" t="shared" si="11" ref="AE13:AE53">M13+O13+Q13+S13+U13+W13+Y13+AA13+AC13</f>
        <v>9564</v>
      </c>
    </row>
    <row r="14" spans="1:31" ht="9.75" customHeight="1">
      <c r="A14" s="267"/>
      <c r="B14" s="564" t="s">
        <v>221</v>
      </c>
      <c r="C14" s="568">
        <v>18</v>
      </c>
      <c r="D14" s="568">
        <v>334</v>
      </c>
      <c r="E14" s="51">
        <v>0.0032</v>
      </c>
      <c r="F14" s="54">
        <f t="shared" si="10"/>
        <v>5.939138680454404</v>
      </c>
      <c r="G14" s="567">
        <v>0</v>
      </c>
      <c r="H14" s="568">
        <v>1962</v>
      </c>
      <c r="I14" s="56">
        <v>10042</v>
      </c>
      <c r="J14" s="38">
        <f t="shared" si="0"/>
        <v>2.9528766716147503</v>
      </c>
      <c r="K14" s="62">
        <f t="shared" si="1"/>
        <v>4.588282880328301</v>
      </c>
      <c r="L14" s="235">
        <f t="shared" si="6"/>
        <v>5.939138680454404</v>
      </c>
      <c r="M14" s="65">
        <v>9548</v>
      </c>
      <c r="N14" s="574">
        <f t="shared" si="7"/>
        <v>4.362569701391617</v>
      </c>
      <c r="O14" s="578"/>
      <c r="P14" s="36">
        <f t="shared" si="8"/>
        <v>0</v>
      </c>
      <c r="Q14" s="578">
        <v>16</v>
      </c>
      <c r="R14" s="574">
        <f t="shared" si="9"/>
        <v>0.0073105483056415885</v>
      </c>
      <c r="S14" s="578"/>
      <c r="T14" s="574">
        <v>0</v>
      </c>
      <c r="U14" s="578"/>
      <c r="V14" s="574">
        <v>0</v>
      </c>
      <c r="W14" s="578"/>
      <c r="X14" s="574">
        <f t="shared" si="2"/>
        <v>0</v>
      </c>
      <c r="Y14" s="578"/>
      <c r="Z14" s="574">
        <f t="shared" si="3"/>
        <v>0</v>
      </c>
      <c r="AA14" s="578"/>
      <c r="AB14" s="574">
        <f t="shared" si="4"/>
        <v>0</v>
      </c>
      <c r="AC14" s="578"/>
      <c r="AD14" s="574">
        <f t="shared" si="5"/>
        <v>0</v>
      </c>
      <c r="AE14" s="76">
        <f t="shared" si="11"/>
        <v>9564</v>
      </c>
    </row>
    <row r="15" spans="1:31" ht="9.75" customHeight="1">
      <c r="A15" s="267"/>
      <c r="B15" s="267"/>
      <c r="C15" s="568">
        <v>18</v>
      </c>
      <c r="D15" s="568">
        <v>368</v>
      </c>
      <c r="E15" s="51">
        <v>0.0032</v>
      </c>
      <c r="F15" s="54">
        <f t="shared" si="10"/>
        <v>5.939138680454404</v>
      </c>
      <c r="G15" s="567">
        <v>0</v>
      </c>
      <c r="H15" s="568">
        <v>1962</v>
      </c>
      <c r="I15" s="56">
        <v>10042</v>
      </c>
      <c r="J15" s="38">
        <f t="shared" si="0"/>
        <v>2.9528766716147503</v>
      </c>
      <c r="K15" s="62">
        <f t="shared" si="1"/>
        <v>4.588282880328301</v>
      </c>
      <c r="L15" s="235">
        <f t="shared" si="6"/>
        <v>5.939138680454404</v>
      </c>
      <c r="M15" s="65">
        <v>9548</v>
      </c>
      <c r="N15" s="574">
        <f t="shared" si="7"/>
        <v>4.362569701391617</v>
      </c>
      <c r="O15" s="578"/>
      <c r="P15" s="36">
        <f t="shared" si="8"/>
        <v>0</v>
      </c>
      <c r="Q15" s="578">
        <v>16</v>
      </c>
      <c r="R15" s="574">
        <f t="shared" si="9"/>
        <v>0.0073105483056415885</v>
      </c>
      <c r="S15" s="578"/>
      <c r="T15" s="574">
        <v>0</v>
      </c>
      <c r="U15" s="578"/>
      <c r="V15" s="574">
        <v>0</v>
      </c>
      <c r="W15" s="578"/>
      <c r="X15" s="574">
        <f t="shared" si="2"/>
        <v>0</v>
      </c>
      <c r="Y15" s="578"/>
      <c r="Z15" s="574">
        <f t="shared" si="3"/>
        <v>0</v>
      </c>
      <c r="AA15" s="578"/>
      <c r="AB15" s="574">
        <f t="shared" si="4"/>
        <v>0</v>
      </c>
      <c r="AC15" s="578"/>
      <c r="AD15" s="574">
        <f t="shared" si="5"/>
        <v>0</v>
      </c>
      <c r="AE15" s="76">
        <f t="shared" si="11"/>
        <v>9564</v>
      </c>
    </row>
    <row r="16" spans="1:31" ht="9.75" customHeight="1">
      <c r="A16" s="267"/>
      <c r="B16" s="564" t="s">
        <v>222</v>
      </c>
      <c r="C16" s="568">
        <v>21</v>
      </c>
      <c r="D16" s="568">
        <v>314</v>
      </c>
      <c r="E16" s="51">
        <v>0.0015</v>
      </c>
      <c r="F16" s="54">
        <f t="shared" si="10"/>
        <v>6.133648424951537</v>
      </c>
      <c r="G16" s="567">
        <v>0</v>
      </c>
      <c r="H16" s="568">
        <v>1962</v>
      </c>
      <c r="I16" s="56">
        <v>10042</v>
      </c>
      <c r="J16" s="38">
        <f t="shared" si="0"/>
        <v>2.9528766716147503</v>
      </c>
      <c r="K16" s="62">
        <f t="shared" si="1"/>
        <v>4.588282880328301</v>
      </c>
      <c r="L16" s="235">
        <f t="shared" si="6"/>
        <v>6.133648424951537</v>
      </c>
      <c r="M16" s="65">
        <v>9548</v>
      </c>
      <c r="N16" s="574">
        <f t="shared" si="7"/>
        <v>4.362569701391617</v>
      </c>
      <c r="O16" s="578"/>
      <c r="P16" s="36">
        <f t="shared" si="8"/>
        <v>0</v>
      </c>
      <c r="Q16" s="578">
        <v>16</v>
      </c>
      <c r="R16" s="574">
        <f t="shared" si="9"/>
        <v>0.0073105483056415885</v>
      </c>
      <c r="S16" s="578"/>
      <c r="T16" s="574">
        <v>0</v>
      </c>
      <c r="U16" s="578"/>
      <c r="V16" s="574">
        <v>0</v>
      </c>
      <c r="W16" s="578"/>
      <c r="X16" s="574">
        <f t="shared" si="2"/>
        <v>0</v>
      </c>
      <c r="Y16" s="578"/>
      <c r="Z16" s="574">
        <f t="shared" si="3"/>
        <v>0</v>
      </c>
      <c r="AA16" s="578"/>
      <c r="AB16" s="574">
        <f t="shared" si="4"/>
        <v>0</v>
      </c>
      <c r="AC16" s="578"/>
      <c r="AD16" s="574">
        <f t="shared" si="5"/>
        <v>0</v>
      </c>
      <c r="AE16" s="76">
        <f t="shared" si="11"/>
        <v>9564</v>
      </c>
    </row>
    <row r="17" spans="1:31" ht="9.75" customHeight="1">
      <c r="A17" s="267"/>
      <c r="B17" s="267"/>
      <c r="C17" s="568">
        <v>21</v>
      </c>
      <c r="D17" s="568">
        <v>332</v>
      </c>
      <c r="E17" s="51">
        <v>0.0015</v>
      </c>
      <c r="F17" s="54">
        <f t="shared" si="10"/>
        <v>6.133648424951537</v>
      </c>
      <c r="G17" s="567">
        <v>0</v>
      </c>
      <c r="H17" s="568">
        <v>1962</v>
      </c>
      <c r="I17" s="56">
        <v>10042</v>
      </c>
      <c r="J17" s="38">
        <f t="shared" si="0"/>
        <v>2.9528766716147503</v>
      </c>
      <c r="K17" s="62">
        <f t="shared" si="1"/>
        <v>4.588282880328301</v>
      </c>
      <c r="L17" s="235">
        <f t="shared" si="6"/>
        <v>6.133648424951537</v>
      </c>
      <c r="M17" s="65">
        <v>9548</v>
      </c>
      <c r="N17" s="574">
        <f t="shared" si="7"/>
        <v>4.362569701391617</v>
      </c>
      <c r="O17" s="578"/>
      <c r="P17" s="36">
        <f t="shared" si="8"/>
        <v>0</v>
      </c>
      <c r="Q17" s="578">
        <v>16</v>
      </c>
      <c r="R17" s="574">
        <f t="shared" si="9"/>
        <v>0.0073105483056415885</v>
      </c>
      <c r="S17" s="578"/>
      <c r="T17" s="574">
        <v>0</v>
      </c>
      <c r="U17" s="578"/>
      <c r="V17" s="574">
        <v>0</v>
      </c>
      <c r="W17" s="578"/>
      <c r="X17" s="574">
        <f t="shared" si="2"/>
        <v>0</v>
      </c>
      <c r="Y17" s="578"/>
      <c r="Z17" s="574">
        <f t="shared" si="3"/>
        <v>0</v>
      </c>
      <c r="AA17" s="578"/>
      <c r="AB17" s="574">
        <f t="shared" si="4"/>
        <v>0</v>
      </c>
      <c r="AC17" s="578"/>
      <c r="AD17" s="574">
        <f t="shared" si="5"/>
        <v>0</v>
      </c>
      <c r="AE17" s="76">
        <f t="shared" si="11"/>
        <v>9564</v>
      </c>
    </row>
    <row r="18" spans="1:31" ht="9.75" customHeight="1">
      <c r="A18" s="267"/>
      <c r="B18" s="267"/>
      <c r="C18" s="568"/>
      <c r="D18" s="568"/>
      <c r="E18" s="51"/>
      <c r="F18" s="54"/>
      <c r="G18" s="567"/>
      <c r="H18" s="568"/>
      <c r="I18" s="56"/>
      <c r="J18" s="28"/>
      <c r="K18" s="63"/>
      <c r="L18" s="30"/>
      <c r="M18" s="92"/>
      <c r="N18" s="574"/>
      <c r="O18" s="578"/>
      <c r="P18" s="579"/>
      <c r="Q18" s="382"/>
      <c r="R18" s="74"/>
      <c r="S18" s="578"/>
      <c r="T18" s="74"/>
      <c r="U18" s="578"/>
      <c r="V18" s="74"/>
      <c r="W18" s="578"/>
      <c r="X18" s="74"/>
      <c r="Y18" s="578"/>
      <c r="Z18" s="74"/>
      <c r="AA18" s="578"/>
      <c r="AB18" s="74"/>
      <c r="AC18" s="578"/>
      <c r="AD18" s="74"/>
      <c r="AE18" s="76"/>
    </row>
    <row r="19" spans="1:31" ht="9.75" customHeight="1">
      <c r="A19" s="267"/>
      <c r="B19" s="564" t="s">
        <v>223</v>
      </c>
      <c r="C19" s="568">
        <v>21</v>
      </c>
      <c r="D19" s="568">
        <v>463</v>
      </c>
      <c r="E19" s="51">
        <v>0.0018</v>
      </c>
      <c r="F19" s="54">
        <f t="shared" si="10"/>
        <v>6.719075204303979</v>
      </c>
      <c r="G19" s="567">
        <v>0</v>
      </c>
      <c r="H19" s="568">
        <v>1962</v>
      </c>
      <c r="I19" s="56">
        <v>15684</v>
      </c>
      <c r="J19" s="38">
        <f t="shared" si="0"/>
        <v>2.7587270191970084</v>
      </c>
      <c r="K19" s="62">
        <f t="shared" si="1"/>
        <v>6.694994455753287</v>
      </c>
      <c r="L19" s="235">
        <f t="shared" si="6"/>
        <v>6.719075204303979</v>
      </c>
      <c r="M19" s="65">
        <v>15174</v>
      </c>
      <c r="N19" s="574">
        <f t="shared" si="7"/>
        <v>6.477291881637361</v>
      </c>
      <c r="O19" s="578"/>
      <c r="P19" s="36">
        <f>J19*100*O19/(7.48*24*60*60)</f>
        <v>0</v>
      </c>
      <c r="Q19" s="578">
        <v>32</v>
      </c>
      <c r="R19" s="574">
        <f>J19*100*Q19/(7.48*24*60*60)</f>
        <v>0.013659769356293367</v>
      </c>
      <c r="S19" s="578"/>
      <c r="T19" s="574">
        <v>0</v>
      </c>
      <c r="U19" s="578"/>
      <c r="V19" s="574">
        <v>0</v>
      </c>
      <c r="W19" s="578"/>
      <c r="X19" s="574">
        <f t="shared" si="2"/>
        <v>0</v>
      </c>
      <c r="Y19" s="578"/>
      <c r="Z19" s="574">
        <f t="shared" si="3"/>
        <v>0</v>
      </c>
      <c r="AA19" s="578"/>
      <c r="AB19" s="574">
        <f t="shared" si="4"/>
        <v>0</v>
      </c>
      <c r="AC19" s="578"/>
      <c r="AD19" s="574">
        <f t="shared" si="5"/>
        <v>0</v>
      </c>
      <c r="AE19" s="76">
        <f t="shared" si="11"/>
        <v>15206</v>
      </c>
    </row>
    <row r="20" spans="1:31" ht="9.75" customHeight="1">
      <c r="A20" s="267"/>
      <c r="B20" s="564" t="s">
        <v>224</v>
      </c>
      <c r="C20" s="568">
        <v>21</v>
      </c>
      <c r="D20" s="568">
        <v>299</v>
      </c>
      <c r="E20" s="51">
        <v>0.0018</v>
      </c>
      <c r="F20" s="54"/>
      <c r="G20" s="567">
        <v>0</v>
      </c>
      <c r="H20" s="568">
        <v>1962</v>
      </c>
      <c r="I20" s="56">
        <v>15684</v>
      </c>
      <c r="J20" s="38">
        <f t="shared" si="0"/>
        <v>2.7587270191970084</v>
      </c>
      <c r="K20" s="62">
        <f t="shared" si="1"/>
        <v>6.694994455753287</v>
      </c>
      <c r="L20" s="235">
        <f t="shared" si="6"/>
        <v>0</v>
      </c>
      <c r="M20" s="65">
        <v>15174</v>
      </c>
      <c r="N20" s="574">
        <f t="shared" si="7"/>
        <v>6.477291881637361</v>
      </c>
      <c r="O20" s="578"/>
      <c r="P20" s="574">
        <f>J20*100*O20/(7.48*24*60*60)</f>
        <v>0</v>
      </c>
      <c r="Q20" s="578">
        <v>32</v>
      </c>
      <c r="R20" s="574">
        <f>J20*100*Q20/(7.48*24*60*60)</f>
        <v>0.013659769356293367</v>
      </c>
      <c r="S20" s="578"/>
      <c r="T20" s="574">
        <v>0</v>
      </c>
      <c r="U20" s="578"/>
      <c r="V20" s="574">
        <v>0</v>
      </c>
      <c r="W20" s="578"/>
      <c r="X20" s="574">
        <f t="shared" si="2"/>
        <v>0</v>
      </c>
      <c r="Y20" s="578"/>
      <c r="Z20" s="574">
        <f t="shared" si="3"/>
        <v>0</v>
      </c>
      <c r="AA20" s="578"/>
      <c r="AB20" s="574">
        <f t="shared" si="4"/>
        <v>0</v>
      </c>
      <c r="AC20" s="578"/>
      <c r="AD20" s="574">
        <f t="shared" si="5"/>
        <v>0</v>
      </c>
      <c r="AE20" s="76">
        <f t="shared" si="11"/>
        <v>15206</v>
      </c>
    </row>
    <row r="21" spans="1:31" ht="9.75" customHeight="1">
      <c r="A21" s="267"/>
      <c r="B21" s="564"/>
      <c r="C21" s="568"/>
      <c r="D21" s="568"/>
      <c r="E21" s="51"/>
      <c r="F21" s="54"/>
      <c r="G21" s="567"/>
      <c r="H21" s="568"/>
      <c r="I21" s="56"/>
      <c r="J21" s="28"/>
      <c r="K21" s="63"/>
      <c r="L21" s="23"/>
      <c r="M21" s="65"/>
      <c r="N21" s="574"/>
      <c r="O21" s="578"/>
      <c r="P21" s="74"/>
      <c r="Q21" s="578"/>
      <c r="R21" s="74"/>
      <c r="S21" s="578"/>
      <c r="T21" s="74"/>
      <c r="U21" s="578"/>
      <c r="V21" s="74"/>
      <c r="W21" s="578"/>
      <c r="X21" s="74"/>
      <c r="Y21" s="578"/>
      <c r="Z21" s="74"/>
      <c r="AA21" s="578"/>
      <c r="AB21" s="74"/>
      <c r="AC21" s="578"/>
      <c r="AD21" s="74"/>
      <c r="AE21" s="76"/>
    </row>
    <row r="22" spans="1:31" ht="9.75" customHeight="1">
      <c r="A22" s="267"/>
      <c r="B22" s="564" t="s">
        <v>225</v>
      </c>
      <c r="C22" s="568">
        <v>24</v>
      </c>
      <c r="D22" s="568">
        <v>355</v>
      </c>
      <c r="E22" s="51">
        <v>0.0012</v>
      </c>
      <c r="F22" s="54">
        <f t="shared" si="10"/>
        <v>7.832656200599217</v>
      </c>
      <c r="G22" s="567">
        <v>0</v>
      </c>
      <c r="H22" s="568">
        <v>1962</v>
      </c>
      <c r="I22" s="56">
        <v>17178</v>
      </c>
      <c r="J22" s="38">
        <f t="shared" si="0"/>
        <v>2.7189229291876624</v>
      </c>
      <c r="K22" s="62">
        <f t="shared" si="1"/>
        <v>7.226935110539474</v>
      </c>
      <c r="L22" s="64">
        <f t="shared" si="6"/>
        <v>7.832656200599217</v>
      </c>
      <c r="M22" s="65">
        <v>16603</v>
      </c>
      <c r="N22" s="574">
        <f t="shared" si="7"/>
        <v>6.985027572493124</v>
      </c>
      <c r="O22" s="578"/>
      <c r="P22" s="574">
        <f>J22*100*O22/(7.48*24*60*60)</f>
        <v>0</v>
      </c>
      <c r="Q22" s="578">
        <v>97</v>
      </c>
      <c r="R22" s="574">
        <f>J22*100*Q22/(7.48*24*60*60)</f>
        <v>0.040808749896514666</v>
      </c>
      <c r="S22" s="578"/>
      <c r="T22" s="574">
        <v>0</v>
      </c>
      <c r="U22" s="578"/>
      <c r="V22" s="574">
        <v>0</v>
      </c>
      <c r="W22" s="578"/>
      <c r="X22" s="574">
        <f t="shared" si="2"/>
        <v>0</v>
      </c>
      <c r="Y22" s="578"/>
      <c r="Z22" s="574">
        <f t="shared" si="3"/>
        <v>0</v>
      </c>
      <c r="AA22" s="578"/>
      <c r="AB22" s="574">
        <f t="shared" si="4"/>
        <v>0</v>
      </c>
      <c r="AC22" s="578"/>
      <c r="AD22" s="574">
        <f t="shared" si="5"/>
        <v>0</v>
      </c>
      <c r="AE22" s="76">
        <f t="shared" si="11"/>
        <v>16700</v>
      </c>
    </row>
    <row r="23" spans="1:31" ht="9.75" customHeight="1">
      <c r="A23" s="267"/>
      <c r="B23" s="267"/>
      <c r="C23" s="568">
        <v>24</v>
      </c>
      <c r="D23" s="568">
        <v>355</v>
      </c>
      <c r="E23" s="51">
        <v>0.0012</v>
      </c>
      <c r="F23" s="54">
        <f t="shared" si="10"/>
        <v>7.832656200599217</v>
      </c>
      <c r="G23" s="567">
        <v>0</v>
      </c>
      <c r="H23" s="568">
        <v>1962</v>
      </c>
      <c r="I23" s="56">
        <v>17178</v>
      </c>
      <c r="J23" s="38">
        <f t="shared" si="0"/>
        <v>2.7189229291876624</v>
      </c>
      <c r="K23" s="62">
        <f t="shared" si="1"/>
        <v>7.226935110539474</v>
      </c>
      <c r="L23" s="64">
        <f t="shared" si="6"/>
        <v>7.832656200599217</v>
      </c>
      <c r="M23" s="65">
        <v>16603</v>
      </c>
      <c r="N23" s="574">
        <f t="shared" si="7"/>
        <v>6.985027572493124</v>
      </c>
      <c r="O23" s="578"/>
      <c r="P23" s="574">
        <f>J23*100*O23/(7.48*24*60*60)</f>
        <v>0</v>
      </c>
      <c r="Q23" s="578">
        <v>97</v>
      </c>
      <c r="R23" s="574">
        <f>J23*100*Q23/(7.48*24*60*60)</f>
        <v>0.040808749896514666</v>
      </c>
      <c r="S23" s="578"/>
      <c r="T23" s="574">
        <v>0</v>
      </c>
      <c r="U23" s="578"/>
      <c r="V23" s="574">
        <v>0</v>
      </c>
      <c r="W23" s="578"/>
      <c r="X23" s="574">
        <f t="shared" si="2"/>
        <v>0</v>
      </c>
      <c r="Y23" s="578"/>
      <c r="Z23" s="574">
        <f t="shared" si="3"/>
        <v>0</v>
      </c>
      <c r="AA23" s="578"/>
      <c r="AB23" s="574">
        <f t="shared" si="4"/>
        <v>0</v>
      </c>
      <c r="AC23" s="578"/>
      <c r="AD23" s="574">
        <f t="shared" si="5"/>
        <v>0</v>
      </c>
      <c r="AE23" s="76">
        <f t="shared" si="11"/>
        <v>16700</v>
      </c>
    </row>
    <row r="24" spans="1:31" ht="9.75" customHeight="1">
      <c r="A24" s="267"/>
      <c r="B24" s="267"/>
      <c r="C24" s="568">
        <v>24</v>
      </c>
      <c r="D24" s="568">
        <v>173</v>
      </c>
      <c r="E24" s="51">
        <v>0.0012</v>
      </c>
      <c r="F24" s="54">
        <f t="shared" si="10"/>
        <v>7.832656200599217</v>
      </c>
      <c r="G24" s="567">
        <v>0</v>
      </c>
      <c r="H24" s="568">
        <v>1962</v>
      </c>
      <c r="I24" s="56">
        <v>17178</v>
      </c>
      <c r="J24" s="38">
        <f t="shared" si="0"/>
        <v>2.7189229291876624</v>
      </c>
      <c r="K24" s="62">
        <f t="shared" si="1"/>
        <v>7.226935110539474</v>
      </c>
      <c r="L24" s="64">
        <f t="shared" si="6"/>
        <v>7.832656200599217</v>
      </c>
      <c r="M24" s="65">
        <v>16603</v>
      </c>
      <c r="N24" s="574">
        <f t="shared" si="7"/>
        <v>6.985027572493124</v>
      </c>
      <c r="O24" s="578"/>
      <c r="P24" s="574">
        <f>J24*100*O24/(7.48*24*60*60)</f>
        <v>0</v>
      </c>
      <c r="Q24" s="578">
        <v>97</v>
      </c>
      <c r="R24" s="574">
        <f>J24*100*Q24/(7.48*24*60*60)</f>
        <v>0.040808749896514666</v>
      </c>
      <c r="S24" s="578"/>
      <c r="T24" s="574">
        <v>0</v>
      </c>
      <c r="U24" s="578"/>
      <c r="V24" s="574">
        <v>0</v>
      </c>
      <c r="W24" s="578"/>
      <c r="X24" s="574">
        <f t="shared" si="2"/>
        <v>0</v>
      </c>
      <c r="Y24" s="578"/>
      <c r="Z24" s="574">
        <f t="shared" si="3"/>
        <v>0</v>
      </c>
      <c r="AA24" s="578"/>
      <c r="AB24" s="574">
        <f t="shared" si="4"/>
        <v>0</v>
      </c>
      <c r="AC24" s="578"/>
      <c r="AD24" s="574">
        <f t="shared" si="5"/>
        <v>0</v>
      </c>
      <c r="AE24" s="76">
        <f t="shared" si="11"/>
        <v>16700</v>
      </c>
    </row>
    <row r="25" spans="1:31" ht="9.75" customHeight="1">
      <c r="A25" s="267"/>
      <c r="B25" s="564" t="s">
        <v>226</v>
      </c>
      <c r="C25" s="568">
        <v>24</v>
      </c>
      <c r="D25" s="568">
        <v>313</v>
      </c>
      <c r="E25" s="51">
        <v>0.0012</v>
      </c>
      <c r="F25" s="54">
        <f t="shared" si="10"/>
        <v>7.832656200599217</v>
      </c>
      <c r="G25" s="567">
        <v>0</v>
      </c>
      <c r="H25" s="568">
        <v>1962</v>
      </c>
      <c r="I25" s="56">
        <v>17178</v>
      </c>
      <c r="J25" s="38">
        <f t="shared" si="0"/>
        <v>2.7189229291876624</v>
      </c>
      <c r="K25" s="62">
        <f t="shared" si="1"/>
        <v>7.226935110539474</v>
      </c>
      <c r="L25" s="64">
        <f t="shared" si="6"/>
        <v>7.832656200599217</v>
      </c>
      <c r="M25" s="65">
        <v>16603</v>
      </c>
      <c r="N25" s="574">
        <f t="shared" si="7"/>
        <v>6.985027572493124</v>
      </c>
      <c r="O25" s="578"/>
      <c r="P25" s="574">
        <f>J25*100*O25/(7.48*24*60*60)</f>
        <v>0</v>
      </c>
      <c r="Q25" s="578">
        <v>97</v>
      </c>
      <c r="R25" s="574">
        <f>J25*100*Q25/(7.48*24*60*60)</f>
        <v>0.040808749896514666</v>
      </c>
      <c r="S25" s="578"/>
      <c r="T25" s="574">
        <v>0</v>
      </c>
      <c r="U25" s="578"/>
      <c r="V25" s="574">
        <v>0</v>
      </c>
      <c r="W25" s="578"/>
      <c r="X25" s="574">
        <f t="shared" si="2"/>
        <v>0</v>
      </c>
      <c r="Y25" s="578"/>
      <c r="Z25" s="574">
        <f t="shared" si="3"/>
        <v>0</v>
      </c>
      <c r="AA25" s="578"/>
      <c r="AB25" s="574">
        <f t="shared" si="4"/>
        <v>0</v>
      </c>
      <c r="AC25" s="578"/>
      <c r="AD25" s="574">
        <f t="shared" si="5"/>
        <v>0</v>
      </c>
      <c r="AE25" s="76">
        <f t="shared" si="11"/>
        <v>16700</v>
      </c>
    </row>
    <row r="26" spans="1:31" ht="9.75" customHeight="1">
      <c r="A26" s="267"/>
      <c r="B26" s="564"/>
      <c r="C26" s="568"/>
      <c r="D26" s="568"/>
      <c r="E26" s="51"/>
      <c r="F26" s="54"/>
      <c r="G26" s="567"/>
      <c r="H26" s="568"/>
      <c r="I26" s="56"/>
      <c r="J26" s="28"/>
      <c r="K26" s="63"/>
      <c r="L26" s="23"/>
      <c r="M26" s="65"/>
      <c r="N26" s="574"/>
      <c r="O26" s="578"/>
      <c r="P26" s="74"/>
      <c r="Q26" s="578"/>
      <c r="R26" s="74"/>
      <c r="S26" s="578"/>
      <c r="T26" s="74"/>
      <c r="U26" s="578"/>
      <c r="V26" s="74"/>
      <c r="W26" s="578"/>
      <c r="X26" s="74"/>
      <c r="Y26" s="578"/>
      <c r="Z26" s="74"/>
      <c r="AA26" s="578"/>
      <c r="AB26" s="74"/>
      <c r="AC26" s="578"/>
      <c r="AD26" s="74"/>
      <c r="AE26" s="76"/>
    </row>
    <row r="27" spans="1:31" ht="9.75" customHeight="1">
      <c r="A27" s="267"/>
      <c r="B27" s="564" t="s">
        <v>227</v>
      </c>
      <c r="C27" s="568">
        <v>27</v>
      </c>
      <c r="D27" s="568">
        <v>249</v>
      </c>
      <c r="E27" s="51">
        <v>0.0008</v>
      </c>
      <c r="F27" s="54">
        <f t="shared" si="10"/>
        <v>8.75528245452041</v>
      </c>
      <c r="G27" s="567">
        <v>0</v>
      </c>
      <c r="H27" s="568">
        <v>1962</v>
      </c>
      <c r="I27" s="56">
        <f>I$28</f>
        <v>18631</v>
      </c>
      <c r="J27" s="38">
        <f t="shared" si="0"/>
        <v>2.683427955436659</v>
      </c>
      <c r="K27" s="62">
        <f t="shared" si="1"/>
        <v>7.735898543916554</v>
      </c>
      <c r="L27" s="64">
        <f t="shared" si="6"/>
        <v>8.75528245452041</v>
      </c>
      <c r="M27" s="65">
        <f>M$28</f>
        <v>18033</v>
      </c>
      <c r="N27" s="574">
        <f t="shared" si="7"/>
        <v>7.487599079085783</v>
      </c>
      <c r="O27" s="578"/>
      <c r="P27" s="574">
        <f>J27*100*O27/(7.48*24*60*60)</f>
        <v>0</v>
      </c>
      <c r="Q27" s="578">
        <f>Q$28</f>
        <v>121</v>
      </c>
      <c r="R27" s="574">
        <f>J27*100*Q27/(7.48*24*60*60)</f>
        <v>0.05024119606107579</v>
      </c>
      <c r="S27" s="578"/>
      <c r="T27" s="574">
        <v>0</v>
      </c>
      <c r="U27" s="578"/>
      <c r="V27" s="574">
        <v>0</v>
      </c>
      <c r="W27" s="578"/>
      <c r="X27" s="574">
        <f t="shared" si="2"/>
        <v>0</v>
      </c>
      <c r="Y27" s="578"/>
      <c r="Z27" s="574">
        <f t="shared" si="3"/>
        <v>0</v>
      </c>
      <c r="AA27" s="578"/>
      <c r="AB27" s="574">
        <f t="shared" si="4"/>
        <v>0</v>
      </c>
      <c r="AC27" s="578"/>
      <c r="AD27" s="574">
        <f t="shared" si="5"/>
        <v>0</v>
      </c>
      <c r="AE27" s="76">
        <f t="shared" si="11"/>
        <v>18154</v>
      </c>
    </row>
    <row r="28" spans="1:31" ht="9.75" customHeight="1">
      <c r="A28" s="267"/>
      <c r="B28" s="267"/>
      <c r="C28" s="568">
        <v>27</v>
      </c>
      <c r="D28" s="568">
        <v>266</v>
      </c>
      <c r="E28" s="51">
        <v>0.0008</v>
      </c>
      <c r="F28" s="54">
        <f t="shared" si="10"/>
        <v>8.75528245452041</v>
      </c>
      <c r="G28" s="567">
        <v>0</v>
      </c>
      <c r="H28" s="568">
        <v>1962</v>
      </c>
      <c r="I28" s="56">
        <v>18631</v>
      </c>
      <c r="J28" s="38">
        <f t="shared" si="0"/>
        <v>2.683427955436659</v>
      </c>
      <c r="K28" s="62">
        <f t="shared" si="1"/>
        <v>7.735898543916554</v>
      </c>
      <c r="L28" s="64">
        <f t="shared" si="6"/>
        <v>8.75528245452041</v>
      </c>
      <c r="M28" s="65">
        <v>18033</v>
      </c>
      <c r="N28" s="574">
        <f t="shared" si="7"/>
        <v>7.487599079085783</v>
      </c>
      <c r="O28" s="578"/>
      <c r="P28" s="574">
        <f>J28*100*O28/(7.48*24*60*60)</f>
        <v>0</v>
      </c>
      <c r="Q28" s="578">
        <v>121</v>
      </c>
      <c r="R28" s="574">
        <f>J28*100*Q28/(7.48*24*60*60)</f>
        <v>0.05024119606107579</v>
      </c>
      <c r="S28" s="578"/>
      <c r="T28" s="574">
        <v>0</v>
      </c>
      <c r="U28" s="578"/>
      <c r="V28" s="574">
        <v>0</v>
      </c>
      <c r="W28" s="578"/>
      <c r="X28" s="574">
        <f t="shared" si="2"/>
        <v>0</v>
      </c>
      <c r="Y28" s="578"/>
      <c r="Z28" s="574">
        <f t="shared" si="3"/>
        <v>0</v>
      </c>
      <c r="AA28" s="578"/>
      <c r="AB28" s="574">
        <f t="shared" si="4"/>
        <v>0</v>
      </c>
      <c r="AC28" s="578"/>
      <c r="AD28" s="574">
        <f t="shared" si="5"/>
        <v>0</v>
      </c>
      <c r="AE28" s="76">
        <f t="shared" si="11"/>
        <v>18154</v>
      </c>
    </row>
    <row r="29" spans="1:31" ht="9.75" customHeight="1">
      <c r="A29" s="267"/>
      <c r="B29" s="564" t="s">
        <v>228</v>
      </c>
      <c r="C29" s="568">
        <v>27</v>
      </c>
      <c r="D29" s="568">
        <v>300</v>
      </c>
      <c r="E29" s="51">
        <v>0.0008</v>
      </c>
      <c r="F29" s="54">
        <f t="shared" si="10"/>
        <v>8.75528245452041</v>
      </c>
      <c r="G29" s="567">
        <v>0</v>
      </c>
      <c r="H29" s="568">
        <v>1962</v>
      </c>
      <c r="I29" s="56">
        <v>18631</v>
      </c>
      <c r="J29" s="38">
        <f t="shared" si="0"/>
        <v>2.683427955436659</v>
      </c>
      <c r="K29" s="62">
        <f t="shared" si="1"/>
        <v>7.735898543916554</v>
      </c>
      <c r="L29" s="64">
        <f t="shared" si="6"/>
        <v>8.75528245452041</v>
      </c>
      <c r="M29" s="65">
        <v>18033</v>
      </c>
      <c r="N29" s="574">
        <f t="shared" si="7"/>
        <v>7.487599079085783</v>
      </c>
      <c r="O29" s="578"/>
      <c r="P29" s="574">
        <f>J29*100*O29/(7.48*24*60*60)</f>
        <v>0</v>
      </c>
      <c r="Q29" s="578">
        <v>121</v>
      </c>
      <c r="R29" s="574">
        <f>J29*100*Q29/(7.48*24*60*60)</f>
        <v>0.05024119606107579</v>
      </c>
      <c r="S29" s="578"/>
      <c r="T29" s="574">
        <v>0</v>
      </c>
      <c r="U29" s="578"/>
      <c r="V29" s="574">
        <v>0</v>
      </c>
      <c r="W29" s="578"/>
      <c r="X29" s="574">
        <f t="shared" si="2"/>
        <v>0</v>
      </c>
      <c r="Y29" s="578"/>
      <c r="Z29" s="574">
        <f t="shared" si="3"/>
        <v>0</v>
      </c>
      <c r="AA29" s="578"/>
      <c r="AB29" s="574">
        <f t="shared" si="4"/>
        <v>0</v>
      </c>
      <c r="AC29" s="578"/>
      <c r="AD29" s="574">
        <f t="shared" si="5"/>
        <v>0</v>
      </c>
      <c r="AE29" s="76">
        <f t="shared" si="11"/>
        <v>18154</v>
      </c>
    </row>
    <row r="30" spans="1:31" ht="9.75" customHeight="1">
      <c r="A30" s="267"/>
      <c r="B30" s="267"/>
      <c r="C30" s="568">
        <v>27</v>
      </c>
      <c r="D30" s="568">
        <v>299</v>
      </c>
      <c r="E30" s="51">
        <v>0.0008</v>
      </c>
      <c r="F30" s="54">
        <f t="shared" si="10"/>
        <v>8.75528245452041</v>
      </c>
      <c r="G30" s="567">
        <v>0</v>
      </c>
      <c r="H30" s="568">
        <v>1962</v>
      </c>
      <c r="I30" s="56">
        <v>18631</v>
      </c>
      <c r="J30" s="38">
        <f t="shared" si="0"/>
        <v>2.683427955436659</v>
      </c>
      <c r="K30" s="62">
        <f t="shared" si="1"/>
        <v>7.735898543916554</v>
      </c>
      <c r="L30" s="64">
        <f t="shared" si="6"/>
        <v>8.75528245452041</v>
      </c>
      <c r="M30" s="65">
        <v>18033</v>
      </c>
      <c r="N30" s="574">
        <f t="shared" si="7"/>
        <v>7.487599079085783</v>
      </c>
      <c r="O30" s="578"/>
      <c r="P30" s="574">
        <f>J30*100*O30/(7.48*24*60*60)</f>
        <v>0</v>
      </c>
      <c r="Q30" s="578">
        <v>121</v>
      </c>
      <c r="R30" s="574">
        <f>J30*100*Q30/(7.48*24*60*60)</f>
        <v>0.05024119606107579</v>
      </c>
      <c r="S30" s="578"/>
      <c r="T30" s="574">
        <v>0</v>
      </c>
      <c r="U30" s="578"/>
      <c r="V30" s="574">
        <v>0</v>
      </c>
      <c r="W30" s="578"/>
      <c r="X30" s="574">
        <f t="shared" si="2"/>
        <v>0</v>
      </c>
      <c r="Y30" s="578"/>
      <c r="Z30" s="574">
        <f t="shared" si="3"/>
        <v>0</v>
      </c>
      <c r="AA30" s="578"/>
      <c r="AB30" s="574">
        <f t="shared" si="4"/>
        <v>0</v>
      </c>
      <c r="AC30" s="578"/>
      <c r="AD30" s="574">
        <f t="shared" si="5"/>
        <v>0</v>
      </c>
      <c r="AE30" s="76">
        <f t="shared" si="11"/>
        <v>18154</v>
      </c>
    </row>
    <row r="31" spans="1:31" ht="9.75" customHeight="1">
      <c r="A31" s="267"/>
      <c r="B31" s="267"/>
      <c r="C31" s="568">
        <v>27</v>
      </c>
      <c r="D31" s="568">
        <v>235</v>
      </c>
      <c r="E31" s="51">
        <v>0.0008</v>
      </c>
      <c r="F31" s="54">
        <f t="shared" si="10"/>
        <v>8.75528245452041</v>
      </c>
      <c r="G31" s="567">
        <v>0</v>
      </c>
      <c r="H31" s="568">
        <v>1962</v>
      </c>
      <c r="I31" s="56">
        <v>18631</v>
      </c>
      <c r="J31" s="38">
        <f t="shared" si="0"/>
        <v>2.683427955436659</v>
      </c>
      <c r="K31" s="62">
        <f t="shared" si="1"/>
        <v>7.735898543916554</v>
      </c>
      <c r="L31" s="64">
        <f t="shared" si="6"/>
        <v>8.75528245452041</v>
      </c>
      <c r="M31" s="65">
        <v>18033</v>
      </c>
      <c r="N31" s="574">
        <f t="shared" si="7"/>
        <v>7.487599079085783</v>
      </c>
      <c r="O31" s="578"/>
      <c r="P31" s="574">
        <f>J31*100*O31/(7.48*24*60*60)</f>
        <v>0</v>
      </c>
      <c r="Q31" s="578">
        <v>121</v>
      </c>
      <c r="R31" s="574">
        <f>J31*100*Q31/(7.48*24*60*60)</f>
        <v>0.05024119606107579</v>
      </c>
      <c r="S31" s="578"/>
      <c r="T31" s="574">
        <v>0</v>
      </c>
      <c r="U31" s="578"/>
      <c r="V31" s="574">
        <v>0</v>
      </c>
      <c r="W31" s="578"/>
      <c r="X31" s="574">
        <f t="shared" si="2"/>
        <v>0</v>
      </c>
      <c r="Y31" s="578"/>
      <c r="Z31" s="574">
        <f t="shared" si="3"/>
        <v>0</v>
      </c>
      <c r="AA31" s="578"/>
      <c r="AB31" s="574">
        <f t="shared" si="4"/>
        <v>0</v>
      </c>
      <c r="AC31" s="578"/>
      <c r="AD31" s="574">
        <f t="shared" si="5"/>
        <v>0</v>
      </c>
      <c r="AE31" s="76">
        <f t="shared" si="11"/>
        <v>18154</v>
      </c>
    </row>
    <row r="32" spans="1:31" ht="9.75" customHeight="1">
      <c r="A32" s="267"/>
      <c r="B32" s="267"/>
      <c r="C32" s="568"/>
      <c r="D32" s="568"/>
      <c r="E32" s="51"/>
      <c r="F32" s="54"/>
      <c r="G32" s="567"/>
      <c r="H32" s="568"/>
      <c r="I32" s="56"/>
      <c r="J32" s="28"/>
      <c r="K32" s="63"/>
      <c r="L32" s="23"/>
      <c r="M32" s="65"/>
      <c r="N32" s="574"/>
      <c r="O32" s="578"/>
      <c r="P32" s="74"/>
      <c r="Q32" s="578"/>
      <c r="R32" s="74"/>
      <c r="S32" s="578"/>
      <c r="T32" s="74"/>
      <c r="U32" s="578"/>
      <c r="V32" s="74"/>
      <c r="W32" s="578"/>
      <c r="X32" s="74"/>
      <c r="Y32" s="578"/>
      <c r="Z32" s="74"/>
      <c r="AA32" s="578"/>
      <c r="AB32" s="74"/>
      <c r="AC32" s="578"/>
      <c r="AD32" s="74"/>
      <c r="AE32" s="76"/>
    </row>
    <row r="33" spans="1:31" ht="9.75" customHeight="1">
      <c r="A33" s="564" t="s">
        <v>218</v>
      </c>
      <c r="B33" s="564" t="s">
        <v>229</v>
      </c>
      <c r="C33" s="568">
        <v>27</v>
      </c>
      <c r="D33" s="568">
        <v>180</v>
      </c>
      <c r="E33" s="51">
        <v>0.0012</v>
      </c>
      <c r="F33" s="54">
        <f t="shared" si="10"/>
        <v>10.722987283758636</v>
      </c>
      <c r="G33" s="567">
        <v>0</v>
      </c>
      <c r="H33" s="568">
        <v>1970</v>
      </c>
      <c r="I33" s="56">
        <v>18803</v>
      </c>
      <c r="J33" s="38">
        <f t="shared" si="0"/>
        <v>2.679413693878664</v>
      </c>
      <c r="K33" s="62">
        <f t="shared" si="1"/>
        <v>7.795636463594357</v>
      </c>
      <c r="L33" s="64">
        <f t="shared" si="6"/>
        <v>10.722987283758636</v>
      </c>
      <c r="M33" s="65">
        <v>18205</v>
      </c>
      <c r="N33" s="574">
        <f t="shared" si="7"/>
        <v>7.547708441192111</v>
      </c>
      <c r="O33" s="578"/>
      <c r="P33" s="574">
        <f aca="true" t="shared" si="12" ref="P33:P40">J33*100*O33/(7.48*24*60*60)</f>
        <v>0</v>
      </c>
      <c r="Q33" s="578">
        <v>121</v>
      </c>
      <c r="R33" s="574">
        <f aca="true" t="shared" si="13" ref="R33:R40">J33*100*Q33/(7.48*24*60*60)</f>
        <v>0.050166037977711915</v>
      </c>
      <c r="S33" s="578"/>
      <c r="T33" s="574">
        <v>0</v>
      </c>
      <c r="U33" s="578"/>
      <c r="V33" s="574">
        <v>0</v>
      </c>
      <c r="W33" s="578"/>
      <c r="X33" s="574">
        <f t="shared" si="2"/>
        <v>0</v>
      </c>
      <c r="Y33" s="578"/>
      <c r="Z33" s="574">
        <f t="shared" si="3"/>
        <v>0</v>
      </c>
      <c r="AA33" s="578"/>
      <c r="AB33" s="574">
        <f t="shared" si="4"/>
        <v>0</v>
      </c>
      <c r="AC33" s="578"/>
      <c r="AD33" s="574">
        <f t="shared" si="5"/>
        <v>0</v>
      </c>
      <c r="AE33" s="76">
        <f t="shared" si="11"/>
        <v>18326</v>
      </c>
    </row>
    <row r="34" spans="1:31" ht="9.75" customHeight="1">
      <c r="A34" s="267"/>
      <c r="B34" s="267"/>
      <c r="C34" s="568">
        <v>27</v>
      </c>
      <c r="D34" s="568">
        <v>213</v>
      </c>
      <c r="E34" s="51">
        <v>0.0012</v>
      </c>
      <c r="F34" s="54">
        <f t="shared" si="10"/>
        <v>10.722987283758636</v>
      </c>
      <c r="G34" s="567">
        <v>0</v>
      </c>
      <c r="H34" s="568">
        <v>1970</v>
      </c>
      <c r="I34" s="56">
        <v>18803</v>
      </c>
      <c r="J34" s="38">
        <f t="shared" si="0"/>
        <v>2.679413693878664</v>
      </c>
      <c r="K34" s="62">
        <f t="shared" si="1"/>
        <v>7.795636463594357</v>
      </c>
      <c r="L34" s="64">
        <f t="shared" si="6"/>
        <v>10.722987283758636</v>
      </c>
      <c r="M34" s="65">
        <v>18205</v>
      </c>
      <c r="N34" s="574">
        <f t="shared" si="7"/>
        <v>7.547708441192111</v>
      </c>
      <c r="O34" s="578"/>
      <c r="P34" s="574">
        <f t="shared" si="12"/>
        <v>0</v>
      </c>
      <c r="Q34" s="578">
        <v>121</v>
      </c>
      <c r="R34" s="574">
        <f t="shared" si="13"/>
        <v>0.050166037977711915</v>
      </c>
      <c r="S34" s="578"/>
      <c r="T34" s="574">
        <v>0</v>
      </c>
      <c r="U34" s="578"/>
      <c r="V34" s="574">
        <v>0</v>
      </c>
      <c r="W34" s="578"/>
      <c r="X34" s="574">
        <f t="shared" si="2"/>
        <v>0</v>
      </c>
      <c r="Y34" s="578"/>
      <c r="Z34" s="574">
        <f t="shared" si="3"/>
        <v>0</v>
      </c>
      <c r="AA34" s="578"/>
      <c r="AB34" s="574">
        <f t="shared" si="4"/>
        <v>0</v>
      </c>
      <c r="AC34" s="578"/>
      <c r="AD34" s="574">
        <f t="shared" si="5"/>
        <v>0</v>
      </c>
      <c r="AE34" s="76">
        <f t="shared" si="11"/>
        <v>18326</v>
      </c>
    </row>
    <row r="35" spans="1:31" ht="9.75" customHeight="1">
      <c r="A35" s="267"/>
      <c r="B35" s="267"/>
      <c r="C35" s="568">
        <v>27</v>
      </c>
      <c r="D35" s="568">
        <v>260</v>
      </c>
      <c r="E35" s="51">
        <v>0.0012</v>
      </c>
      <c r="F35" s="54">
        <f t="shared" si="10"/>
        <v>10.722987283758636</v>
      </c>
      <c r="G35" s="567">
        <v>0</v>
      </c>
      <c r="H35" s="568">
        <v>1970</v>
      </c>
      <c r="I35" s="56">
        <v>18803</v>
      </c>
      <c r="J35" s="38">
        <f t="shared" si="0"/>
        <v>2.679413693878664</v>
      </c>
      <c r="K35" s="62">
        <f t="shared" si="1"/>
        <v>7.795636463594357</v>
      </c>
      <c r="L35" s="64">
        <f t="shared" si="6"/>
        <v>10.722987283758636</v>
      </c>
      <c r="M35" s="65">
        <v>18205</v>
      </c>
      <c r="N35" s="574">
        <f t="shared" si="7"/>
        <v>7.547708441192111</v>
      </c>
      <c r="O35" s="578"/>
      <c r="P35" s="574">
        <f t="shared" si="12"/>
        <v>0</v>
      </c>
      <c r="Q35" s="578">
        <v>121</v>
      </c>
      <c r="R35" s="574">
        <f t="shared" si="13"/>
        <v>0.050166037977711915</v>
      </c>
      <c r="S35" s="578"/>
      <c r="T35" s="574">
        <v>0</v>
      </c>
      <c r="U35" s="578"/>
      <c r="V35" s="574">
        <v>0</v>
      </c>
      <c r="W35" s="578"/>
      <c r="X35" s="574">
        <f t="shared" si="2"/>
        <v>0</v>
      </c>
      <c r="Y35" s="578"/>
      <c r="Z35" s="574">
        <f t="shared" si="3"/>
        <v>0</v>
      </c>
      <c r="AA35" s="578"/>
      <c r="AB35" s="574">
        <f t="shared" si="4"/>
        <v>0</v>
      </c>
      <c r="AC35" s="578"/>
      <c r="AD35" s="574">
        <f t="shared" si="5"/>
        <v>0</v>
      </c>
      <c r="AE35" s="76">
        <f t="shared" si="11"/>
        <v>18326</v>
      </c>
    </row>
    <row r="36" spans="1:31" ht="9.75" customHeight="1">
      <c r="A36" s="267"/>
      <c r="B36" s="267"/>
      <c r="C36" s="568">
        <v>27</v>
      </c>
      <c r="D36" s="568">
        <v>301</v>
      </c>
      <c r="E36" s="51">
        <v>0.0012</v>
      </c>
      <c r="F36" s="54">
        <f t="shared" si="10"/>
        <v>10.722987283758636</v>
      </c>
      <c r="G36" s="567">
        <v>0</v>
      </c>
      <c r="H36" s="568">
        <v>1970</v>
      </c>
      <c r="I36" s="56">
        <v>18803</v>
      </c>
      <c r="J36" s="38">
        <f t="shared" si="0"/>
        <v>2.679413693878664</v>
      </c>
      <c r="K36" s="62">
        <f t="shared" si="1"/>
        <v>7.795636463594357</v>
      </c>
      <c r="L36" s="64">
        <f t="shared" si="6"/>
        <v>10.722987283758636</v>
      </c>
      <c r="M36" s="65">
        <v>18205</v>
      </c>
      <c r="N36" s="574">
        <f t="shared" si="7"/>
        <v>7.547708441192111</v>
      </c>
      <c r="O36" s="578"/>
      <c r="P36" s="574">
        <f t="shared" si="12"/>
        <v>0</v>
      </c>
      <c r="Q36" s="578">
        <v>121</v>
      </c>
      <c r="R36" s="574">
        <f t="shared" si="13"/>
        <v>0.050166037977711915</v>
      </c>
      <c r="S36" s="578"/>
      <c r="T36" s="574">
        <v>0</v>
      </c>
      <c r="U36" s="578"/>
      <c r="V36" s="574">
        <v>0</v>
      </c>
      <c r="W36" s="578"/>
      <c r="X36" s="574">
        <f t="shared" si="2"/>
        <v>0</v>
      </c>
      <c r="Y36" s="578"/>
      <c r="Z36" s="574">
        <f t="shared" si="3"/>
        <v>0</v>
      </c>
      <c r="AA36" s="578"/>
      <c r="AB36" s="574">
        <f t="shared" si="4"/>
        <v>0</v>
      </c>
      <c r="AC36" s="578"/>
      <c r="AD36" s="574">
        <f t="shared" si="5"/>
        <v>0</v>
      </c>
      <c r="AE36" s="76">
        <f t="shared" si="11"/>
        <v>18326</v>
      </c>
    </row>
    <row r="37" spans="1:31" ht="9.75" customHeight="1">
      <c r="A37" s="267"/>
      <c r="B37" s="267"/>
      <c r="C37" s="568">
        <v>27</v>
      </c>
      <c r="D37" s="568">
        <v>401</v>
      </c>
      <c r="E37" s="51">
        <v>0.0012</v>
      </c>
      <c r="F37" s="54">
        <f t="shared" si="10"/>
        <v>10.722987283758636</v>
      </c>
      <c r="G37" s="567">
        <v>0</v>
      </c>
      <c r="H37" s="568">
        <v>1970</v>
      </c>
      <c r="I37" s="56">
        <v>18803</v>
      </c>
      <c r="J37" s="38">
        <f t="shared" si="0"/>
        <v>2.679413693878664</v>
      </c>
      <c r="K37" s="62">
        <f t="shared" si="1"/>
        <v>7.795636463594357</v>
      </c>
      <c r="L37" s="64">
        <f t="shared" si="6"/>
        <v>10.722987283758636</v>
      </c>
      <c r="M37" s="65">
        <v>18205</v>
      </c>
      <c r="N37" s="574">
        <f t="shared" si="7"/>
        <v>7.547708441192111</v>
      </c>
      <c r="O37" s="578"/>
      <c r="P37" s="574">
        <f t="shared" si="12"/>
        <v>0</v>
      </c>
      <c r="Q37" s="578">
        <v>121</v>
      </c>
      <c r="R37" s="574">
        <f t="shared" si="13"/>
        <v>0.050166037977711915</v>
      </c>
      <c r="S37" s="578"/>
      <c r="T37" s="574">
        <v>0</v>
      </c>
      <c r="U37" s="578"/>
      <c r="V37" s="574">
        <v>0</v>
      </c>
      <c r="W37" s="578"/>
      <c r="X37" s="574">
        <f t="shared" si="2"/>
        <v>0</v>
      </c>
      <c r="Y37" s="578"/>
      <c r="Z37" s="574">
        <f t="shared" si="3"/>
        <v>0</v>
      </c>
      <c r="AA37" s="578"/>
      <c r="AB37" s="574">
        <f t="shared" si="4"/>
        <v>0</v>
      </c>
      <c r="AC37" s="578"/>
      <c r="AD37" s="574">
        <f t="shared" si="5"/>
        <v>0</v>
      </c>
      <c r="AE37" s="76">
        <f t="shared" si="11"/>
        <v>18326</v>
      </c>
    </row>
    <row r="38" spans="1:31" ht="9.75" customHeight="1">
      <c r="A38" s="267"/>
      <c r="B38" s="267"/>
      <c r="C38" s="568">
        <v>27</v>
      </c>
      <c r="D38" s="568">
        <v>169</v>
      </c>
      <c r="E38" s="51">
        <v>0.0012</v>
      </c>
      <c r="F38" s="54">
        <f t="shared" si="10"/>
        <v>10.722987283758636</v>
      </c>
      <c r="G38" s="567">
        <v>0</v>
      </c>
      <c r="H38" s="568">
        <v>1970</v>
      </c>
      <c r="I38" s="56">
        <f>I$40</f>
        <v>18803</v>
      </c>
      <c r="J38" s="38">
        <f t="shared" si="0"/>
        <v>2.679413693878664</v>
      </c>
      <c r="K38" s="62">
        <f t="shared" si="1"/>
        <v>7.795636463594357</v>
      </c>
      <c r="L38" s="64">
        <f t="shared" si="6"/>
        <v>10.722987283758636</v>
      </c>
      <c r="M38" s="65">
        <f>M$40</f>
        <v>18205</v>
      </c>
      <c r="N38" s="574">
        <f t="shared" si="7"/>
        <v>7.547708441192111</v>
      </c>
      <c r="O38" s="578"/>
      <c r="P38" s="574">
        <f t="shared" si="12"/>
        <v>0</v>
      </c>
      <c r="Q38" s="578">
        <f>Q$40</f>
        <v>121</v>
      </c>
      <c r="R38" s="574">
        <f t="shared" si="13"/>
        <v>0.050166037977711915</v>
      </c>
      <c r="S38" s="578"/>
      <c r="T38" s="574">
        <v>0</v>
      </c>
      <c r="U38" s="578"/>
      <c r="V38" s="574">
        <v>0</v>
      </c>
      <c r="W38" s="578"/>
      <c r="X38" s="574">
        <f t="shared" si="2"/>
        <v>0</v>
      </c>
      <c r="Y38" s="578"/>
      <c r="Z38" s="574">
        <f t="shared" si="3"/>
        <v>0</v>
      </c>
      <c r="AA38" s="578"/>
      <c r="AB38" s="574">
        <f t="shared" si="4"/>
        <v>0</v>
      </c>
      <c r="AC38" s="578"/>
      <c r="AD38" s="574">
        <f t="shared" si="5"/>
        <v>0</v>
      </c>
      <c r="AE38" s="76">
        <f t="shared" si="11"/>
        <v>18326</v>
      </c>
    </row>
    <row r="39" spans="1:31" ht="9.75" customHeight="1">
      <c r="A39" s="267"/>
      <c r="B39" s="267"/>
      <c r="C39" s="568">
        <v>27</v>
      </c>
      <c r="D39" s="568">
        <v>169</v>
      </c>
      <c r="E39" s="51">
        <v>0.0012</v>
      </c>
      <c r="F39" s="54">
        <f t="shared" si="10"/>
        <v>10.722987283758636</v>
      </c>
      <c r="G39" s="567">
        <v>0</v>
      </c>
      <c r="H39" s="568">
        <v>1970</v>
      </c>
      <c r="I39" s="56">
        <f>I$40</f>
        <v>18803</v>
      </c>
      <c r="J39" s="38">
        <f t="shared" si="0"/>
        <v>2.679413693878664</v>
      </c>
      <c r="K39" s="62">
        <f t="shared" si="1"/>
        <v>7.795636463594357</v>
      </c>
      <c r="L39" s="64">
        <f t="shared" si="6"/>
        <v>10.722987283758636</v>
      </c>
      <c r="M39" s="65">
        <f>M$40</f>
        <v>18205</v>
      </c>
      <c r="N39" s="574">
        <f t="shared" si="7"/>
        <v>7.547708441192111</v>
      </c>
      <c r="O39" s="578"/>
      <c r="P39" s="574">
        <f t="shared" si="12"/>
        <v>0</v>
      </c>
      <c r="Q39" s="578">
        <f>Q$40</f>
        <v>121</v>
      </c>
      <c r="R39" s="574">
        <f t="shared" si="13"/>
        <v>0.050166037977711915</v>
      </c>
      <c r="S39" s="578"/>
      <c r="T39" s="574">
        <v>0</v>
      </c>
      <c r="U39" s="578"/>
      <c r="V39" s="574">
        <v>0</v>
      </c>
      <c r="W39" s="578"/>
      <c r="X39" s="574">
        <f t="shared" si="2"/>
        <v>0</v>
      </c>
      <c r="Y39" s="578"/>
      <c r="Z39" s="574">
        <f t="shared" si="3"/>
        <v>0</v>
      </c>
      <c r="AA39" s="578"/>
      <c r="AB39" s="574">
        <f t="shared" si="4"/>
        <v>0</v>
      </c>
      <c r="AC39" s="578"/>
      <c r="AD39" s="574">
        <f t="shared" si="5"/>
        <v>0</v>
      </c>
      <c r="AE39" s="76">
        <f t="shared" si="11"/>
        <v>18326</v>
      </c>
    </row>
    <row r="40" spans="1:31" ht="9.75" customHeight="1">
      <c r="A40" s="267"/>
      <c r="B40" s="267"/>
      <c r="C40" s="568">
        <v>27</v>
      </c>
      <c r="D40" s="568">
        <v>147</v>
      </c>
      <c r="E40" s="51">
        <v>0.0008</v>
      </c>
      <c r="F40" s="54">
        <f t="shared" si="10"/>
        <v>8.75528245452041</v>
      </c>
      <c r="G40" s="567">
        <v>0</v>
      </c>
      <c r="H40" s="568">
        <v>1970</v>
      </c>
      <c r="I40" s="56">
        <v>18803</v>
      </c>
      <c r="J40" s="38">
        <f t="shared" si="0"/>
        <v>2.679413693878664</v>
      </c>
      <c r="K40" s="62">
        <f t="shared" si="1"/>
        <v>7.795636463594357</v>
      </c>
      <c r="L40" s="64">
        <f t="shared" si="6"/>
        <v>8.75528245452041</v>
      </c>
      <c r="M40" s="65">
        <v>18205</v>
      </c>
      <c r="N40" s="574">
        <f t="shared" si="7"/>
        <v>7.547708441192111</v>
      </c>
      <c r="O40" s="578"/>
      <c r="P40" s="574">
        <f t="shared" si="12"/>
        <v>0</v>
      </c>
      <c r="Q40" s="578">
        <v>121</v>
      </c>
      <c r="R40" s="574">
        <f t="shared" si="13"/>
        <v>0.050166037977711915</v>
      </c>
      <c r="S40" s="578"/>
      <c r="T40" s="574">
        <v>0</v>
      </c>
      <c r="U40" s="578"/>
      <c r="V40" s="574">
        <v>0</v>
      </c>
      <c r="W40" s="578"/>
      <c r="X40" s="574">
        <f t="shared" si="2"/>
        <v>0</v>
      </c>
      <c r="Y40" s="578"/>
      <c r="Z40" s="574">
        <f t="shared" si="3"/>
        <v>0</v>
      </c>
      <c r="AA40" s="578"/>
      <c r="AB40" s="574">
        <f t="shared" si="4"/>
        <v>0</v>
      </c>
      <c r="AC40" s="578"/>
      <c r="AD40" s="574">
        <f t="shared" si="5"/>
        <v>0</v>
      </c>
      <c r="AE40" s="76">
        <f t="shared" si="11"/>
        <v>18326</v>
      </c>
    </row>
    <row r="41" spans="1:31" ht="9.75" customHeight="1">
      <c r="A41" s="267"/>
      <c r="B41" s="267"/>
      <c r="C41" s="568"/>
      <c r="D41" s="568"/>
      <c r="E41" s="51"/>
      <c r="F41" s="54"/>
      <c r="G41" s="567"/>
      <c r="H41" s="568"/>
      <c r="I41" s="56"/>
      <c r="J41" s="28"/>
      <c r="K41" s="63"/>
      <c r="L41" s="23"/>
      <c r="M41" s="65"/>
      <c r="N41" s="574"/>
      <c r="O41" s="578"/>
      <c r="P41" s="74"/>
      <c r="Q41" s="578"/>
      <c r="R41" s="74"/>
      <c r="S41" s="578"/>
      <c r="T41" s="74"/>
      <c r="U41" s="578"/>
      <c r="V41" s="74"/>
      <c r="W41" s="578"/>
      <c r="X41" s="74"/>
      <c r="Y41" s="578"/>
      <c r="Z41" s="74"/>
      <c r="AA41" s="578"/>
      <c r="AB41" s="74"/>
      <c r="AC41" s="578"/>
      <c r="AD41" s="74"/>
      <c r="AE41" s="76"/>
    </row>
    <row r="42" spans="1:31" ht="9.75" customHeight="1">
      <c r="A42" s="564" t="s">
        <v>230</v>
      </c>
      <c r="B42" s="564" t="s">
        <v>218</v>
      </c>
      <c r="C42" s="568">
        <v>30</v>
      </c>
      <c r="D42" s="568">
        <v>322</v>
      </c>
      <c r="E42" s="51">
        <v>0.001</v>
      </c>
      <c r="F42" s="54">
        <f t="shared" si="10"/>
        <v>12.96418269987843</v>
      </c>
      <c r="G42" s="567">
        <v>0</v>
      </c>
      <c r="H42" s="568">
        <v>1969</v>
      </c>
      <c r="I42" s="56">
        <v>26783</v>
      </c>
      <c r="J42" s="38">
        <f t="shared" si="0"/>
        <v>2.525847397678229</v>
      </c>
      <c r="K42" s="62">
        <f t="shared" si="1"/>
        <v>10.467693301275007</v>
      </c>
      <c r="L42" s="64">
        <f t="shared" si="6"/>
        <v>12.96418269987843</v>
      </c>
      <c r="M42" s="65">
        <v>26044</v>
      </c>
      <c r="N42" s="574">
        <f t="shared" si="7"/>
        <v>10.178867353859026</v>
      </c>
      <c r="O42" s="578"/>
      <c r="P42" s="574">
        <f aca="true" t="shared" si="14" ref="P42:P48">J42*100*O42/(7.48*24*60*60)</f>
        <v>0</v>
      </c>
      <c r="Q42" s="578">
        <v>121</v>
      </c>
      <c r="R42" s="574">
        <f aca="true" t="shared" si="15" ref="R42:R48">J42*100*Q42/(7.48*24*60*60)</f>
        <v>0.047290852012630245</v>
      </c>
      <c r="S42" s="578">
        <v>73</v>
      </c>
      <c r="T42" s="574">
        <f aca="true" t="shared" si="16" ref="T42:T48">J42*100*S42/(7.48*24*60*60)</f>
        <v>0.02853084460266122</v>
      </c>
      <c r="U42" s="578">
        <v>68</v>
      </c>
      <c r="V42" s="574">
        <f>$J42*100*U42/(7.48*24*60*60)</f>
        <v>0.026576677164122785</v>
      </c>
      <c r="W42" s="578"/>
      <c r="X42" s="574">
        <f t="shared" si="2"/>
        <v>0</v>
      </c>
      <c r="Y42" s="578"/>
      <c r="Z42" s="574">
        <f t="shared" si="3"/>
        <v>0</v>
      </c>
      <c r="AA42" s="578"/>
      <c r="AB42" s="574">
        <f t="shared" si="4"/>
        <v>0</v>
      </c>
      <c r="AC42" s="578"/>
      <c r="AD42" s="574">
        <f t="shared" si="5"/>
        <v>0</v>
      </c>
      <c r="AE42" s="76">
        <f t="shared" si="11"/>
        <v>26306</v>
      </c>
    </row>
    <row r="43" spans="1:31" ht="9.75" customHeight="1">
      <c r="A43" s="564" t="s">
        <v>230</v>
      </c>
      <c r="B43" s="564" t="s">
        <v>231</v>
      </c>
      <c r="C43" s="568">
        <v>30</v>
      </c>
      <c r="D43" s="568">
        <v>271</v>
      </c>
      <c r="E43" s="51">
        <v>0.001</v>
      </c>
      <c r="F43" s="54">
        <f t="shared" si="10"/>
        <v>12.96418269987843</v>
      </c>
      <c r="G43" s="567">
        <v>0</v>
      </c>
      <c r="H43" s="568">
        <v>1969</v>
      </c>
      <c r="I43" s="56">
        <v>27329</v>
      </c>
      <c r="J43" s="38">
        <f t="shared" si="0"/>
        <v>2.5171687246543266</v>
      </c>
      <c r="K43" s="62">
        <f t="shared" si="1"/>
        <v>10.64438875211646</v>
      </c>
      <c r="L43" s="64">
        <f t="shared" si="6"/>
        <v>12.96418269987843</v>
      </c>
      <c r="M43" s="65">
        <f>M$46</f>
        <v>28181</v>
      </c>
      <c r="N43" s="574">
        <f t="shared" si="7"/>
        <v>10.976234747828093</v>
      </c>
      <c r="O43" s="578"/>
      <c r="P43" s="574">
        <f t="shared" si="14"/>
        <v>0</v>
      </c>
      <c r="Q43" s="578">
        <f>Q$46</f>
        <v>121</v>
      </c>
      <c r="R43" s="574">
        <f t="shared" si="15"/>
        <v>0.047128363240736645</v>
      </c>
      <c r="S43" s="578">
        <v>73</v>
      </c>
      <c r="T43" s="574">
        <f t="shared" si="16"/>
        <v>0.028432814186560126</v>
      </c>
      <c r="U43" s="578">
        <v>68</v>
      </c>
      <c r="V43" s="574">
        <f aca="true" t="shared" si="17" ref="V43:V53">J43*100*U43/(7.48*24*60*60)</f>
        <v>0.0264853611600834</v>
      </c>
      <c r="W43" s="578"/>
      <c r="X43" s="574">
        <f t="shared" si="2"/>
        <v>0</v>
      </c>
      <c r="Y43" s="578"/>
      <c r="Z43" s="574">
        <f t="shared" si="3"/>
        <v>0</v>
      </c>
      <c r="AA43" s="578"/>
      <c r="AB43" s="574">
        <f t="shared" si="4"/>
        <v>0</v>
      </c>
      <c r="AC43" s="578"/>
      <c r="AD43" s="574">
        <f t="shared" si="5"/>
        <v>0</v>
      </c>
      <c r="AE43" s="76">
        <f t="shared" si="11"/>
        <v>28443</v>
      </c>
    </row>
    <row r="44" spans="1:31" ht="9.75" customHeight="1">
      <c r="A44" s="564" t="s">
        <v>230</v>
      </c>
      <c r="B44" s="564" t="s">
        <v>235</v>
      </c>
      <c r="C44" s="568">
        <v>30</v>
      </c>
      <c r="D44" s="568">
        <v>367</v>
      </c>
      <c r="E44" s="51">
        <v>0.001</v>
      </c>
      <c r="F44" s="54">
        <f t="shared" si="10"/>
        <v>12.96418269987843</v>
      </c>
      <c r="G44" s="567">
        <v>0</v>
      </c>
      <c r="H44" s="568">
        <v>1969</v>
      </c>
      <c r="I44" s="56">
        <v>27329</v>
      </c>
      <c r="J44" s="38">
        <f t="shared" si="0"/>
        <v>2.5171687246543266</v>
      </c>
      <c r="K44" s="62">
        <f t="shared" si="1"/>
        <v>10.64438875211646</v>
      </c>
      <c r="L44" s="64">
        <f t="shared" si="6"/>
        <v>12.96418269987843</v>
      </c>
      <c r="M44" s="65">
        <f>M$46</f>
        <v>28181</v>
      </c>
      <c r="N44" s="574">
        <f t="shared" si="7"/>
        <v>10.976234747828093</v>
      </c>
      <c r="O44" s="578"/>
      <c r="P44" s="574">
        <f t="shared" si="14"/>
        <v>0</v>
      </c>
      <c r="Q44" s="578">
        <f>Q$46</f>
        <v>121</v>
      </c>
      <c r="R44" s="574">
        <f t="shared" si="15"/>
        <v>0.047128363240736645</v>
      </c>
      <c r="S44" s="578">
        <v>73</v>
      </c>
      <c r="T44" s="574">
        <f t="shared" si="16"/>
        <v>0.028432814186560126</v>
      </c>
      <c r="U44" s="578">
        <v>68</v>
      </c>
      <c r="V44" s="574">
        <f t="shared" si="17"/>
        <v>0.0264853611600834</v>
      </c>
      <c r="W44" s="578"/>
      <c r="X44" s="574">
        <f t="shared" si="2"/>
        <v>0</v>
      </c>
      <c r="Y44" s="578"/>
      <c r="Z44" s="574">
        <f t="shared" si="3"/>
        <v>0</v>
      </c>
      <c r="AA44" s="578"/>
      <c r="AB44" s="574">
        <f t="shared" si="4"/>
        <v>0</v>
      </c>
      <c r="AC44" s="578"/>
      <c r="AD44" s="574">
        <f t="shared" si="5"/>
        <v>0</v>
      </c>
      <c r="AE44" s="76">
        <f t="shared" si="11"/>
        <v>28443</v>
      </c>
    </row>
    <row r="45" spans="1:31" ht="9.75" customHeight="1">
      <c r="A45" s="564" t="s">
        <v>230</v>
      </c>
      <c r="B45" s="267"/>
      <c r="C45" s="568">
        <v>30</v>
      </c>
      <c r="D45" s="568">
        <v>370</v>
      </c>
      <c r="E45" s="51">
        <v>0.001</v>
      </c>
      <c r="F45" s="54">
        <f t="shared" si="10"/>
        <v>12.96418269987843</v>
      </c>
      <c r="G45" s="567">
        <v>0</v>
      </c>
      <c r="H45" s="568">
        <v>1969</v>
      </c>
      <c r="I45" s="56">
        <v>27329</v>
      </c>
      <c r="J45" s="38">
        <f t="shared" si="0"/>
        <v>2.5171687246543266</v>
      </c>
      <c r="K45" s="62">
        <f t="shared" si="1"/>
        <v>10.64438875211646</v>
      </c>
      <c r="L45" s="64">
        <f t="shared" si="6"/>
        <v>12.96418269987843</v>
      </c>
      <c r="M45" s="65">
        <f>M$46</f>
        <v>28181</v>
      </c>
      <c r="N45" s="574">
        <f t="shared" si="7"/>
        <v>10.976234747828093</v>
      </c>
      <c r="O45" s="578"/>
      <c r="P45" s="574">
        <f t="shared" si="14"/>
        <v>0</v>
      </c>
      <c r="Q45" s="578">
        <f>Q$46</f>
        <v>121</v>
      </c>
      <c r="R45" s="574">
        <f t="shared" si="15"/>
        <v>0.047128363240736645</v>
      </c>
      <c r="S45" s="578">
        <v>73</v>
      </c>
      <c r="T45" s="574">
        <f t="shared" si="16"/>
        <v>0.028432814186560126</v>
      </c>
      <c r="U45" s="578">
        <v>68</v>
      </c>
      <c r="V45" s="574">
        <f t="shared" si="17"/>
        <v>0.0264853611600834</v>
      </c>
      <c r="W45" s="578"/>
      <c r="X45" s="574">
        <f t="shared" si="2"/>
        <v>0</v>
      </c>
      <c r="Y45" s="578"/>
      <c r="Z45" s="574">
        <f t="shared" si="3"/>
        <v>0</v>
      </c>
      <c r="AA45" s="578"/>
      <c r="AB45" s="574">
        <f t="shared" si="4"/>
        <v>0</v>
      </c>
      <c r="AC45" s="578"/>
      <c r="AD45" s="574">
        <f t="shared" si="5"/>
        <v>0</v>
      </c>
      <c r="AE45" s="76">
        <f t="shared" si="11"/>
        <v>28443</v>
      </c>
    </row>
    <row r="46" spans="1:31" ht="9.75" customHeight="1">
      <c r="A46" s="564" t="s">
        <v>230</v>
      </c>
      <c r="B46" s="564" t="s">
        <v>495</v>
      </c>
      <c r="C46" s="568">
        <v>30</v>
      </c>
      <c r="D46" s="568">
        <v>108</v>
      </c>
      <c r="E46" s="51">
        <v>0.0013</v>
      </c>
      <c r="F46" s="54">
        <f t="shared" si="10"/>
        <v>14.78144252089678</v>
      </c>
      <c r="G46" s="567">
        <v>0</v>
      </c>
      <c r="H46" s="568">
        <v>1969</v>
      </c>
      <c r="I46" s="56">
        <v>29076</v>
      </c>
      <c r="J46" s="38">
        <f t="shared" si="0"/>
        <v>2.490595945245918</v>
      </c>
      <c r="K46" s="62">
        <f t="shared" si="1"/>
        <v>11.205276989250704</v>
      </c>
      <c r="L46" s="64">
        <f t="shared" si="6"/>
        <v>14.78144252089678</v>
      </c>
      <c r="M46" s="65">
        <v>28181</v>
      </c>
      <c r="N46" s="574">
        <f t="shared" si="7"/>
        <v>10.860362870892628</v>
      </c>
      <c r="O46" s="578"/>
      <c r="P46" s="574">
        <f t="shared" si="14"/>
        <v>0</v>
      </c>
      <c r="Q46" s="578">
        <v>121</v>
      </c>
      <c r="R46" s="574">
        <f t="shared" si="15"/>
        <v>0.04663084728639892</v>
      </c>
      <c r="S46" s="578">
        <v>73</v>
      </c>
      <c r="T46" s="574">
        <f t="shared" si="16"/>
        <v>0.028132659933116706</v>
      </c>
      <c r="U46" s="578">
        <v>68</v>
      </c>
      <c r="V46" s="574">
        <f t="shared" si="17"/>
        <v>0.026205765417149807</v>
      </c>
      <c r="W46" s="578"/>
      <c r="X46" s="574">
        <f t="shared" si="2"/>
        <v>0</v>
      </c>
      <c r="Y46" s="578"/>
      <c r="Z46" s="574">
        <f t="shared" si="3"/>
        <v>0</v>
      </c>
      <c r="AA46" s="578"/>
      <c r="AB46" s="574">
        <f t="shared" si="4"/>
        <v>0</v>
      </c>
      <c r="AC46" s="578"/>
      <c r="AD46" s="574">
        <f t="shared" si="5"/>
        <v>0</v>
      </c>
      <c r="AE46" s="76">
        <f t="shared" si="11"/>
        <v>28443</v>
      </c>
    </row>
    <row r="47" spans="1:31" ht="9.75" customHeight="1">
      <c r="A47" s="564" t="s">
        <v>230</v>
      </c>
      <c r="B47" s="564" t="s">
        <v>232</v>
      </c>
      <c r="C47" s="568">
        <v>30</v>
      </c>
      <c r="D47" s="568">
        <v>283</v>
      </c>
      <c r="E47" s="51">
        <v>0.0013</v>
      </c>
      <c r="F47" s="54">
        <f t="shared" si="10"/>
        <v>14.78144252089678</v>
      </c>
      <c r="G47" s="567">
        <v>0</v>
      </c>
      <c r="H47" s="568">
        <v>1967</v>
      </c>
      <c r="I47" s="56">
        <v>29076</v>
      </c>
      <c r="J47" s="38">
        <f t="shared" si="0"/>
        <v>2.490595945245918</v>
      </c>
      <c r="K47" s="62">
        <f t="shared" si="1"/>
        <v>11.205276989250704</v>
      </c>
      <c r="L47" s="64">
        <f t="shared" si="6"/>
        <v>14.78144252089678</v>
      </c>
      <c r="M47" s="65">
        <v>28181</v>
      </c>
      <c r="N47" s="574">
        <f t="shared" si="7"/>
        <v>10.860362870892628</v>
      </c>
      <c r="O47" s="578"/>
      <c r="P47" s="574">
        <f t="shared" si="14"/>
        <v>0</v>
      </c>
      <c r="Q47" s="578">
        <v>121</v>
      </c>
      <c r="R47" s="574">
        <f t="shared" si="15"/>
        <v>0.04663084728639892</v>
      </c>
      <c r="S47" s="578">
        <v>73</v>
      </c>
      <c r="T47" s="574">
        <f t="shared" si="16"/>
        <v>0.028132659933116706</v>
      </c>
      <c r="U47" s="578">
        <v>68</v>
      </c>
      <c r="V47" s="574">
        <f t="shared" si="17"/>
        <v>0.026205765417149807</v>
      </c>
      <c r="W47" s="578"/>
      <c r="X47" s="574">
        <f t="shared" si="2"/>
        <v>0</v>
      </c>
      <c r="Y47" s="578"/>
      <c r="Z47" s="574">
        <f t="shared" si="3"/>
        <v>0</v>
      </c>
      <c r="AA47" s="578"/>
      <c r="AB47" s="574">
        <f t="shared" si="4"/>
        <v>0</v>
      </c>
      <c r="AC47" s="578"/>
      <c r="AD47" s="574">
        <f t="shared" si="5"/>
        <v>0</v>
      </c>
      <c r="AE47" s="76">
        <f t="shared" si="11"/>
        <v>28443</v>
      </c>
    </row>
    <row r="48" spans="1:31" ht="9.75" customHeight="1">
      <c r="A48" s="564" t="s">
        <v>230</v>
      </c>
      <c r="B48" s="564" t="s">
        <v>487</v>
      </c>
      <c r="C48" s="568">
        <v>30</v>
      </c>
      <c r="D48" s="568">
        <v>79</v>
      </c>
      <c r="E48" s="51">
        <v>0.0013</v>
      </c>
      <c r="F48" s="54">
        <f t="shared" si="10"/>
        <v>14.78144252089678</v>
      </c>
      <c r="G48" s="567">
        <v>0</v>
      </c>
      <c r="H48" s="568">
        <v>1967</v>
      </c>
      <c r="I48" s="56">
        <v>29076</v>
      </c>
      <c r="J48" s="38">
        <f t="shared" si="0"/>
        <v>2.490595945245918</v>
      </c>
      <c r="K48" s="62">
        <f t="shared" si="1"/>
        <v>11.205276989250704</v>
      </c>
      <c r="L48" s="64">
        <f t="shared" si="6"/>
        <v>14.78144252089678</v>
      </c>
      <c r="M48" s="65">
        <v>28337</v>
      </c>
      <c r="N48" s="574">
        <f t="shared" si="7"/>
        <v>10.920481979790797</v>
      </c>
      <c r="O48" s="578"/>
      <c r="P48" s="574">
        <f t="shared" si="14"/>
        <v>0</v>
      </c>
      <c r="Q48" s="578">
        <v>121</v>
      </c>
      <c r="R48" s="574">
        <f t="shared" si="15"/>
        <v>0.04663084728639892</v>
      </c>
      <c r="S48" s="578">
        <v>73</v>
      </c>
      <c r="T48" s="574">
        <f t="shared" si="16"/>
        <v>0.028132659933116706</v>
      </c>
      <c r="U48" s="578">
        <v>68</v>
      </c>
      <c r="V48" s="574">
        <f t="shared" si="17"/>
        <v>0.026205765417149807</v>
      </c>
      <c r="W48" s="578"/>
      <c r="X48" s="574">
        <f t="shared" si="2"/>
        <v>0</v>
      </c>
      <c r="Y48" s="578"/>
      <c r="Z48" s="574">
        <f t="shared" si="3"/>
        <v>0</v>
      </c>
      <c r="AA48" s="578"/>
      <c r="AB48" s="574">
        <f t="shared" si="4"/>
        <v>0</v>
      </c>
      <c r="AC48" s="578"/>
      <c r="AD48" s="574">
        <f t="shared" si="5"/>
        <v>0</v>
      </c>
      <c r="AE48" s="76">
        <f t="shared" si="11"/>
        <v>28599</v>
      </c>
    </row>
    <row r="49" spans="1:31" ht="9.75" customHeight="1">
      <c r="A49" s="564"/>
      <c r="B49" s="564"/>
      <c r="C49" s="568"/>
      <c r="D49" s="568"/>
      <c r="E49" s="51"/>
      <c r="F49" s="54"/>
      <c r="G49" s="567"/>
      <c r="H49" s="568"/>
      <c r="I49" s="56"/>
      <c r="J49" s="28"/>
      <c r="K49" s="63"/>
      <c r="L49" s="23"/>
      <c r="M49" s="65"/>
      <c r="N49" s="574"/>
      <c r="O49" s="578"/>
      <c r="P49" s="74"/>
      <c r="Q49" s="578"/>
      <c r="R49" s="74"/>
      <c r="S49" s="578"/>
      <c r="T49" s="74"/>
      <c r="U49" s="578"/>
      <c r="V49" s="574"/>
      <c r="W49" s="578"/>
      <c r="X49" s="574"/>
      <c r="Y49" s="578"/>
      <c r="Z49" s="574"/>
      <c r="AA49" s="578"/>
      <c r="AB49" s="574"/>
      <c r="AC49" s="578"/>
      <c r="AD49" s="574"/>
      <c r="AE49" s="76"/>
    </row>
    <row r="50" spans="1:31" ht="9.75" customHeight="1">
      <c r="A50" s="564" t="s">
        <v>234</v>
      </c>
      <c r="B50" s="564" t="s">
        <v>233</v>
      </c>
      <c r="C50" s="568">
        <v>30</v>
      </c>
      <c r="D50" s="568">
        <v>264</v>
      </c>
      <c r="E50" s="51">
        <v>0.0013</v>
      </c>
      <c r="F50" s="54">
        <f t="shared" si="10"/>
        <v>14.78144252089678</v>
      </c>
      <c r="G50" s="567">
        <v>0</v>
      </c>
      <c r="H50" s="568">
        <v>1965</v>
      </c>
      <c r="I50" s="56">
        <v>29151</v>
      </c>
      <c r="J50" s="28">
        <f t="shared" si="0"/>
        <v>2.489493759637185</v>
      </c>
      <c r="K50" s="62">
        <f t="shared" si="1"/>
        <v>11.22920884506579</v>
      </c>
      <c r="L50" s="23">
        <f t="shared" si="6"/>
        <v>14.78144252089678</v>
      </c>
      <c r="M50" s="65">
        <v>28412</v>
      </c>
      <c r="N50" s="574">
        <f t="shared" si="7"/>
        <v>10.944539868478243</v>
      </c>
      <c r="O50" s="578"/>
      <c r="P50" s="574">
        <f>J50*100*O50/(7.48*24*60*60)</f>
        <v>0</v>
      </c>
      <c r="Q50" s="578">
        <v>121</v>
      </c>
      <c r="R50" s="574">
        <f>J50*100*Q50/(7.48*24*60*60)</f>
        <v>0.04661021132218314</v>
      </c>
      <c r="S50" s="578">
        <v>73</v>
      </c>
      <c r="T50" s="574">
        <f>J50*100*S50/(7.48*24*60*60)</f>
        <v>0.028120210136523712</v>
      </c>
      <c r="U50" s="578">
        <v>68</v>
      </c>
      <c r="V50" s="574">
        <f t="shared" si="17"/>
        <v>0.026194168346350858</v>
      </c>
      <c r="W50" s="578"/>
      <c r="X50" s="574">
        <f t="shared" si="2"/>
        <v>0</v>
      </c>
      <c r="Y50" s="578"/>
      <c r="Z50" s="574">
        <f t="shared" si="3"/>
        <v>0</v>
      </c>
      <c r="AA50" s="578"/>
      <c r="AB50" s="574">
        <f t="shared" si="4"/>
        <v>0</v>
      </c>
      <c r="AC50" s="578"/>
      <c r="AD50" s="574">
        <f t="shared" si="5"/>
        <v>0</v>
      </c>
      <c r="AE50" s="76">
        <f t="shared" si="11"/>
        <v>28674</v>
      </c>
    </row>
    <row r="51" spans="1:31" ht="9.75" customHeight="1">
      <c r="A51" s="564" t="s">
        <v>234</v>
      </c>
      <c r="B51" s="267"/>
      <c r="C51" s="568">
        <v>30</v>
      </c>
      <c r="D51" s="568">
        <v>300</v>
      </c>
      <c r="E51" s="51">
        <v>0.0013</v>
      </c>
      <c r="F51" s="54">
        <f t="shared" si="10"/>
        <v>14.78144252089678</v>
      </c>
      <c r="G51" s="567">
        <v>0</v>
      </c>
      <c r="H51" s="568">
        <v>1965</v>
      </c>
      <c r="I51" s="56">
        <v>29151</v>
      </c>
      <c r="J51" s="28">
        <f t="shared" si="0"/>
        <v>2.489493759637185</v>
      </c>
      <c r="K51" s="62">
        <f t="shared" si="1"/>
        <v>11.22920884506579</v>
      </c>
      <c r="L51" s="23">
        <f t="shared" si="6"/>
        <v>14.78144252089678</v>
      </c>
      <c r="M51" s="65">
        <v>28412</v>
      </c>
      <c r="N51" s="574">
        <f t="shared" si="7"/>
        <v>10.944539868478243</v>
      </c>
      <c r="O51" s="578"/>
      <c r="P51" s="574">
        <f>J51*100*O51/(7.48*24*60*60)</f>
        <v>0</v>
      </c>
      <c r="Q51" s="578">
        <v>121</v>
      </c>
      <c r="R51" s="574">
        <f>J51*100*Q51/(7.48*24*60*60)</f>
        <v>0.04661021132218314</v>
      </c>
      <c r="S51" s="578">
        <v>73</v>
      </c>
      <c r="T51" s="574">
        <f>J51*100*S51/(7.48*24*60*60)</f>
        <v>0.028120210136523712</v>
      </c>
      <c r="U51" s="578">
        <v>68</v>
      </c>
      <c r="V51" s="574">
        <f t="shared" si="17"/>
        <v>0.026194168346350858</v>
      </c>
      <c r="W51" s="578"/>
      <c r="X51" s="574">
        <f t="shared" si="2"/>
        <v>0</v>
      </c>
      <c r="Y51" s="578"/>
      <c r="Z51" s="574">
        <f t="shared" si="3"/>
        <v>0</v>
      </c>
      <c r="AA51" s="578"/>
      <c r="AB51" s="574">
        <f t="shared" si="4"/>
        <v>0</v>
      </c>
      <c r="AC51" s="578"/>
      <c r="AD51" s="574">
        <f t="shared" si="5"/>
        <v>0</v>
      </c>
      <c r="AE51" s="76">
        <f t="shared" si="11"/>
        <v>28674</v>
      </c>
    </row>
    <row r="52" spans="1:31" ht="9.75" customHeight="1">
      <c r="A52" s="564" t="s">
        <v>234</v>
      </c>
      <c r="B52" s="267"/>
      <c r="C52" s="568">
        <v>30</v>
      </c>
      <c r="D52" s="568">
        <v>300</v>
      </c>
      <c r="E52" s="51">
        <v>0.0013</v>
      </c>
      <c r="F52" s="54">
        <f t="shared" si="10"/>
        <v>14.78144252089678</v>
      </c>
      <c r="G52" s="567">
        <v>0</v>
      </c>
      <c r="H52" s="568">
        <v>1965</v>
      </c>
      <c r="I52" s="56">
        <v>29151</v>
      </c>
      <c r="J52" s="28">
        <f t="shared" si="0"/>
        <v>2.489493759637185</v>
      </c>
      <c r="K52" s="62">
        <f t="shared" si="1"/>
        <v>11.22920884506579</v>
      </c>
      <c r="L52" s="23">
        <f t="shared" si="6"/>
        <v>14.78144252089678</v>
      </c>
      <c r="M52" s="65">
        <v>28412</v>
      </c>
      <c r="N52" s="574">
        <f t="shared" si="7"/>
        <v>10.944539868478243</v>
      </c>
      <c r="O52" s="578"/>
      <c r="P52" s="574">
        <f>J52*100*O52/(7.48*24*60*60)</f>
        <v>0</v>
      </c>
      <c r="Q52" s="578">
        <v>121</v>
      </c>
      <c r="R52" s="574">
        <f>J52*100*Q52/(7.48*24*60*60)</f>
        <v>0.04661021132218314</v>
      </c>
      <c r="S52" s="578">
        <v>73</v>
      </c>
      <c r="T52" s="574">
        <f>J52*100*S52/(7.48*24*60*60)</f>
        <v>0.028120210136523712</v>
      </c>
      <c r="U52" s="578">
        <v>68</v>
      </c>
      <c r="V52" s="574">
        <f t="shared" si="17"/>
        <v>0.026194168346350858</v>
      </c>
      <c r="W52" s="578"/>
      <c r="X52" s="574">
        <f t="shared" si="2"/>
        <v>0</v>
      </c>
      <c r="Y52" s="578"/>
      <c r="Z52" s="574">
        <f t="shared" si="3"/>
        <v>0</v>
      </c>
      <c r="AA52" s="578"/>
      <c r="AB52" s="574">
        <f t="shared" si="4"/>
        <v>0</v>
      </c>
      <c r="AC52" s="578"/>
      <c r="AD52" s="574">
        <f t="shared" si="5"/>
        <v>0</v>
      </c>
      <c r="AE52" s="76">
        <f t="shared" si="11"/>
        <v>28674</v>
      </c>
    </row>
    <row r="53" spans="1:31" ht="9.75" customHeight="1">
      <c r="A53" s="25" t="s">
        <v>234</v>
      </c>
      <c r="B53" s="25" t="s">
        <v>236</v>
      </c>
      <c r="C53" s="335"/>
      <c r="D53" s="335"/>
      <c r="E53" s="381"/>
      <c r="F53" s="336"/>
      <c r="G53" s="45">
        <v>0</v>
      </c>
      <c r="H53" s="43">
        <v>1965</v>
      </c>
      <c r="I53" s="57">
        <v>29151</v>
      </c>
      <c r="J53" s="59">
        <f t="shared" si="0"/>
        <v>2.489493759637185</v>
      </c>
      <c r="K53" s="34">
        <f t="shared" si="1"/>
        <v>11.22920884506579</v>
      </c>
      <c r="L53" s="26">
        <v>14.78144252089678</v>
      </c>
      <c r="M53" s="66">
        <v>28412</v>
      </c>
      <c r="N53" s="73">
        <f t="shared" si="7"/>
        <v>10.944539868478243</v>
      </c>
      <c r="O53" s="75"/>
      <c r="P53" s="73">
        <f>J53*100*O53/(7.48*24*60*60)</f>
        <v>0</v>
      </c>
      <c r="Q53" s="75">
        <v>121</v>
      </c>
      <c r="R53" s="73">
        <f>J53*100*Q53/(7.48*24*60*60)</f>
        <v>0.04661021132218314</v>
      </c>
      <c r="S53" s="75">
        <v>73</v>
      </c>
      <c r="T53" s="73">
        <f>J53*100*S53/(7.48*24*60*60)</f>
        <v>0.028120210136523712</v>
      </c>
      <c r="U53" s="75">
        <v>68</v>
      </c>
      <c r="V53" s="73">
        <f t="shared" si="17"/>
        <v>0.026194168346350858</v>
      </c>
      <c r="W53" s="75"/>
      <c r="X53" s="73">
        <f t="shared" si="2"/>
        <v>0</v>
      </c>
      <c r="Y53" s="75"/>
      <c r="Z53" s="73">
        <f>$J53*100*Y53/(7.48*24*60*60)</f>
        <v>0</v>
      </c>
      <c r="AA53" s="75"/>
      <c r="AB53" s="73">
        <f t="shared" si="4"/>
        <v>0</v>
      </c>
      <c r="AC53" s="75"/>
      <c r="AD53" s="73">
        <f t="shared" si="5"/>
        <v>0</v>
      </c>
      <c r="AE53" s="552">
        <f t="shared" si="11"/>
        <v>28674</v>
      </c>
    </row>
  </sheetData>
  <sheetProtection/>
  <mergeCells count="10">
    <mergeCell ref="AA7:AB7"/>
    <mergeCell ref="AC7:AD7"/>
    <mergeCell ref="M7:N7"/>
    <mergeCell ref="O7:P7"/>
    <mergeCell ref="Q7:R7"/>
    <mergeCell ref="U7:V7"/>
    <mergeCell ref="A8:B8"/>
    <mergeCell ref="S7:T7"/>
    <mergeCell ref="W7:X7"/>
    <mergeCell ref="Y7:Z7"/>
  </mergeCells>
  <printOptions/>
  <pageMargins left="0.47" right="0.4" top="0.31" bottom="0.3" header="0.3" footer="0.3"/>
  <pageSetup fitToHeight="1" fitToWidth="1" horizontalDpi="600" verticalDpi="600" orientation="landscape" scale="84" r:id="rId1"/>
  <headerFooter alignWithMargins="0">
    <oddFooter>&amp;L&amp;8Revised:                             6/1/2012
App. by OSG Tech. Comm.  &amp;CPage 2 of 13 Pages
</oddFooter>
  </headerFooter>
  <rowBreaks count="1" manualBreakCount="1">
    <brk id="81" max="255" man="1"/>
  </rowBreaks>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chornung</cp:lastModifiedBy>
  <cp:lastPrinted>2012-05-16T13:58:20Z</cp:lastPrinted>
  <dcterms:created xsi:type="dcterms:W3CDTF">2011-02-20T17:14:23Z</dcterms:created>
  <dcterms:modified xsi:type="dcterms:W3CDTF">2012-05-17T20:01:31Z</dcterms:modified>
  <cp:category/>
  <cp:version/>
  <cp:contentType/>
  <cp:contentStatus/>
</cp:coreProperties>
</file>